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85" activeTab="0"/>
  </bookViews>
  <sheets>
    <sheet name="Смета в текущих ценах(14гр" sheetId="1" r:id="rId1"/>
    <sheet name="RV_DATA" sheetId="2" state="hidden" r:id="rId2"/>
    <sheet name="Расчет стоимости ресурсов" sheetId="3" r:id="rId3"/>
    <sheet name="Дефектная ведомость" sheetId="4" r:id="rId4"/>
    <sheet name="Расчет стоимости ресурсов_1" sheetId="5" r:id="rId5"/>
    <sheet name="Source" sheetId="6" r:id="rId6"/>
    <sheet name="SourceObSm" sheetId="7" r:id="rId7"/>
    <sheet name="SmtRes" sheetId="8" r:id="rId8"/>
    <sheet name="EtalonRes" sheetId="9" r:id="rId9"/>
  </sheets>
  <externalReferences>
    <externalReference r:id="rId12"/>
  </externalReferences>
  <definedNames>
    <definedName name="_xlfn.COUNTIFS" hidden="1">#NAME?</definedName>
    <definedName name="_xlnm.Print_Titles" localSheetId="3">'Дефектная ведомость'!$18:$18</definedName>
    <definedName name="_xlnm.Print_Titles" localSheetId="2">'Расчет стоимости ресурсов'!$4:$7</definedName>
    <definedName name="_xlnm.Print_Titles" localSheetId="4">'Расчет стоимости ресурсов_1'!$4:$7</definedName>
    <definedName name="_xlnm.Print_Titles" localSheetId="0">'Смета в текущих ценах(14гр'!$17:$17</definedName>
    <definedName name="_xlnm.Print_Area" localSheetId="3">'Дефектная ведомость'!$A$1:$E$38</definedName>
    <definedName name="_xlnm.Print_Area" localSheetId="2">'Расчет стоимости ресурсов'!$A$1:$F$39</definedName>
    <definedName name="_xlnm.Print_Area" localSheetId="4">'Расчет стоимости ресурсов_1'!$A$1:$F$39</definedName>
    <definedName name="_xlnm.Print_Area" localSheetId="0">'Смета в текущих ценах(14гр'!$A$1:$N$159</definedName>
  </definedNames>
  <calcPr fullCalcOnLoad="1"/>
</workbook>
</file>

<file path=xl/sharedStrings.xml><?xml version="1.0" encoding="utf-8"?>
<sst xmlns="http://schemas.openxmlformats.org/spreadsheetml/2006/main" count="2287" uniqueCount="512">
  <si>
    <t>Smeta.RU  (495) 974-1589</t>
  </si>
  <si>
    <t>_PS_</t>
  </si>
  <si>
    <t>Smeta.RU</t>
  </si>
  <si>
    <t/>
  </si>
  <si>
    <t>Новый объект</t>
  </si>
  <si>
    <t>полы травление+мал гальваника</t>
  </si>
  <si>
    <t>Сметные нормы списания</t>
  </si>
  <si>
    <t>Коды ценников</t>
  </si>
  <si>
    <t>Версия 7.0.0.14 от 02.08.2012: для ФЕР, с п.3757-КК/08, п.6056-ИП/08,п.10753-ВТ/08 и п.15127-ИП/08 (Кап. ремонт жилых / общ. зд.): Центральные регионы: Текущие цены</t>
  </si>
  <si>
    <t>ГЭСН-2001</t>
  </si>
  <si>
    <t>Поправки  для НБ 2001 года  в ред. 2009 года от 29.03.2011</t>
  </si>
  <si>
    <t>Участок полов в корпусе № 15 цех 6 в осях (8-12) (Б-В)</t>
  </si>
  <si>
    <t>1</t>
  </si>
  <si>
    <t>46-04-011-7</t>
  </si>
  <si>
    <t>Разборка в зданиях и сооружения с агрессивными средами покрытий полов из кирпича, уложенного на битумной мастике или кислотоупорном растворе</t>
  </si>
  <si>
    <t>100 м2 покрытия</t>
  </si>
  <si>
    <t>ФЕР 46-04-011-7 пр.№31/пр от 30.01.2014 г.</t>
  </si>
  <si>
    <t>=93,5</t>
  </si>
  <si>
    <t>=56</t>
  </si>
  <si>
    <t>Общестроительные работы</t>
  </si>
  <si>
    <t>Реконструкция зданий и сооружений</t>
  </si>
  <si>
    <t>ФЕР-46</t>
  </si>
  <si>
    <t>*0,85</t>
  </si>
  <si>
    <t>2</t>
  </si>
  <si>
    <t>57-2-4</t>
  </si>
  <si>
    <t>Разборка цементной стяжки.</t>
  </si>
  <si>
    <t>ФЕРр 57-2-4 пр.№31/пр от 30.01.2014 г.</t>
  </si>
  <si>
    <t>=68</t>
  </si>
  <si>
    <t>=54,4</t>
  </si>
  <si>
    <t>Ремонтно-строительные работы</t>
  </si>
  <si>
    <t>Полы</t>
  </si>
  <si>
    <t>ФЕРр-57</t>
  </si>
  <si>
    <t>4</t>
  </si>
  <si>
    <t>11-01-050-1</t>
  </si>
  <si>
    <t>Устройство гидроизоляции из полиэтиленовой пленки в один слой</t>
  </si>
  <si>
    <t>100 м2 поверхности</t>
  </si>
  <si>
    <t>ГЭСН11-01-050-1 пр.№253 от 17 ноября 2008 г</t>
  </si>
  <si>
    <t>*1,25*1,2</t>
  </si>
  <si>
    <t>*1,15*1,2</t>
  </si>
  <si>
    <t>=94,1</t>
  </si>
  <si>
    <t>=51</t>
  </si>
  <si>
    <t>ФЕР-11</t>
  </si>
  <si>
    <t>*0,9</t>
  </si>
  <si>
    <t>6</t>
  </si>
  <si>
    <t>11-01-014-1</t>
  </si>
  <si>
    <t>Устройство полов бетонных толщиной 100 мм</t>
  </si>
  <si>
    <t>100 м2 пола</t>
  </si>
  <si>
    <t>ФЕР 11-01-014-1 пр.№31/пр от 30.01.2014 г.</t>
  </si>
  <si>
    <t>7</t>
  </si>
  <si>
    <t>65-2-2</t>
  </si>
  <si>
    <t>Разборка трубопроводов из чугунных канализационных труб диаметром 100 мм</t>
  </si>
  <si>
    <t>100 м трубопровода с фасонными частями</t>
  </si>
  <si>
    <t>ФЕРр 65-2-2 пр.№31/пр от 30.01.2014 г.</t>
  </si>
  <si>
    <t>=62,9</t>
  </si>
  <si>
    <t>=40</t>
  </si>
  <si>
    <t>Внтуренниие с/техработы:  демонтаж, разборка, промывка</t>
  </si>
  <si>
    <t>ФЕРр-65</t>
  </si>
  <si>
    <t>8</t>
  </si>
  <si>
    <t>16-04-001-2</t>
  </si>
  <si>
    <t>Прокладка трубопроводов канализации из полиэтиленовых труб высокой плотности диаметром 110 мм</t>
  </si>
  <si>
    <t>100 м трубопровода</t>
  </si>
  <si>
    <t>ФЕР 16-04-001-2 пр.№31/пр от 30.01.2014 г.</t>
  </si>
  <si>
    <t>=97,92</t>
  </si>
  <si>
    <t>=56,44</t>
  </si>
  <si>
    <t>Трубопроводы внутренние</t>
  </si>
  <si>
    <t>ФЕР-16</t>
  </si>
  <si>
    <t>9</t>
  </si>
  <si>
    <t>65-6-2</t>
  </si>
  <si>
    <t>Смена трапов диаметром до 100 мм</t>
  </si>
  <si>
    <t>100 приборов</t>
  </si>
  <si>
    <t>ГЭСНр65-6-2 пр.№207 от 13 октября 2008 г</t>
  </si>
  <si>
    <t>=87,55</t>
  </si>
  <si>
    <t>=48</t>
  </si>
  <si>
    <t>Внтуренниие с/техработы: смена труб</t>
  </si>
  <si>
    <t>10</t>
  </si>
  <si>
    <t>15-07-003-02</t>
  </si>
  <si>
    <t>Грунтование полов за 1 раз.</t>
  </si>
  <si>
    <t>100 м2 обрабатываемой поверхности</t>
  </si>
  <si>
    <t>ФЕР 15-07-003-2 пр.№31/пр от 30.01.2014 г.</t>
  </si>
  <si>
    <t>*1,2*1,25</t>
  </si>
  <si>
    <t>*1,2*1,15</t>
  </si>
  <si>
    <t>=80,33</t>
  </si>
  <si>
    <t>=37,4</t>
  </si>
  <si>
    <t>Отделочные работы</t>
  </si>
  <si>
    <t>ФЕР-15</t>
  </si>
  <si>
    <t>12</t>
  </si>
  <si>
    <t>13-05-002-2</t>
  </si>
  <si>
    <t>Оклейка бетонной поверхности полиизобутиленовыми пластинами толщиной 2,5 мм на клее 88-СА с пастой в 2 слоя</t>
  </si>
  <si>
    <t>1 м2 оклеиваемой поверхности</t>
  </si>
  <si>
    <t>ФЕР 13-05-002-2 пр.№31/пр от 30.01.2014 г.</t>
  </si>
  <si>
    <t>=68,85</t>
  </si>
  <si>
    <t>=47,6</t>
  </si>
  <si>
    <t>Защита строительных конструкций</t>
  </si>
  <si>
    <t>ФЕР-13</t>
  </si>
  <si>
    <t>13</t>
  </si>
  <si>
    <t>13-01-005-1</t>
  </si>
  <si>
    <t>Футеровка штучными кислотоупорными материалами на силикатной кислотоупорной замазке впустошовку плиткой кислотоупорной (керамической) толщиной 35 мм</t>
  </si>
  <si>
    <t>1 м2 площади футеровки</t>
  </si>
  <si>
    <t>ФЕР 13-01-005-1 пр.№31/пр от 30.01.2014 г.</t>
  </si>
  <si>
    <t>14</t>
  </si>
  <si>
    <t>13-08-005-1</t>
  </si>
  <si>
    <t>Разделка швов футеровки эпоксидной замазкой при укладке плитки кислотоупорной керамической, глубина заполнения швов 15 мм</t>
  </si>
  <si>
    <t>1 м2 разделываемой поверхности</t>
  </si>
  <si>
    <t>ФЕР 13-08-005-1 пр.№31/пр от 30.01.2014 г.</t>
  </si>
  <si>
    <t>15</t>
  </si>
  <si>
    <t>69-9-1</t>
  </si>
  <si>
    <t>Очистка помещений от строительного мусора</t>
  </si>
  <si>
    <t>100 т мусора</t>
  </si>
  <si>
    <t>ГЭСНр69-9-1 пр.№207 от 13 октября 2008 г</t>
  </si>
  <si>
    <t>=66,3</t>
  </si>
  <si>
    <t>Прочие ремонтно-строительные работы</t>
  </si>
  <si>
    <t>ФЕРр-69</t>
  </si>
  <si>
    <t>16</t>
  </si>
  <si>
    <t>ФСЦП 311-01-148-1</t>
  </si>
  <si>
    <t>Погрузка: Мусор   строительный   с   погрузкой   экскаваторами емкостью ковша до 0,5мЗ</t>
  </si>
  <si>
    <t>т</t>
  </si>
  <si>
    <t>ФССЦ ч.1, сб.311,гл.01,табл.148-1</t>
  </si>
  <si>
    <t>=85</t>
  </si>
  <si>
    <t>Погрузочно-разгрузочные работы</t>
  </si>
  <si>
    <t>ФССЦ а/п</t>
  </si>
  <si>
    <t>17</t>
  </si>
  <si>
    <t>ФСЦП 310-3021-1</t>
  </si>
  <si>
    <t>Перевозка грузов автомобилями-самосвалами грузоподъёмностью 10 т. работающих вне карьера: расстояние перевозки 21 км. нормативное время пробега 1,518 час; класс груза 1</t>
  </si>
  <si>
    <t>ТЕРт Марий Эл (ред. 2009г.) сб.310, табл.2020-1</t>
  </si>
  <si>
    <t>Перевозка, тара и упаковка</t>
  </si>
  <si>
    <t>Перевозка грузов автомобильным транспортом</t>
  </si>
  <si>
    <t>авто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</si>
  <si>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</si>
  <si>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</si>
  <si>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</si>
  <si>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</si>
  <si>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</si>
  <si>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</si>
  <si>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</si>
  <si>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</si>
  <si>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</si>
  <si>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</si>
  <si>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</si>
  <si>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</si>
  <si>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</si>
  <si>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</si>
  <si>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</si>
  <si>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</si>
  <si>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</si>
  <si>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</si>
  <si>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</si>
  <si>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</si>
  <si>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</si>
  <si>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</si>
  <si>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</si>
  <si>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</si>
  <si>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</si>
  <si>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</si>
  <si>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</si>
  <si>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</si>
  <si>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</si>
  <si>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</si>
  <si>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</si>
  <si>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</si>
  <si>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</si>
  <si>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</si>
  <si>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</si>
  <si>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</si>
  <si>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</si>
  <si>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</si>
  <si>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</si>
  <si>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</si>
  <si>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</si>
  <si>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</si>
  <si>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</si>
  <si>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</si>
  <si>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</si>
  <si>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</si>
  <si>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</t>
  </si>
  <si>
    <t>Итого</t>
  </si>
  <si>
    <t>тра</t>
  </si>
  <si>
    <t>Автотранспорт 7%</t>
  </si>
  <si>
    <t>все</t>
  </si>
  <si>
    <t>Итого по смете</t>
  </si>
  <si>
    <t>111</t>
  </si>
  <si>
    <t>НДС 18%</t>
  </si>
  <si>
    <t>11111</t>
  </si>
  <si>
    <t>Всего по смете</t>
  </si>
  <si>
    <t>_ТЕК</t>
  </si>
  <si>
    <t>{вкл] - Расчет в тек. уровне цен ( индексация  построчно), {выкл} - расчет в базсном уроване цен ( или индексация по итогу сметы)</t>
  </si>
  <si>
    <t>(_ТЕК)      {Вкл.}    - При расчете в текущем (прогнозном) уровне цен , построчная индексация расенок по статьям затрат  {Выкл}   - При расчете в базисном ( 1/01/2000г.) уровне цен, индексация по итогам сметы/объекта</t>
  </si>
  <si>
    <t>ЖИЛ</t>
  </si>
  <si>
    <t>При работах на жилых и общественных зданиях</t>
  </si>
  <si>
    <t>Для сборников ФЕР , ФЕРр:  · {ЖИЛ} - ( вкл.)  -   при производстве всех видов работ  на объектах  жилищно-гражданского назначения  · {ЖИЛ} - (выкл.) -  при производстве всех видов работ на объектах производственного  назначения</t>
  </si>
  <si>
    <t>ЗАКР</t>
  </si>
  <si>
    <t>Работы в тоннелях закрытым/ открытым способом ( сопутствующие работы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</si>
  <si>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</si>
  <si>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М_ГОР_опт</t>
  </si>
  <si>
    <t>Прокладка городских/междугородных волоконно-оптических сетей связи (монтаж оборудования 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</si>
  <si>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</si>
  <si>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ОКРтек_НР_СП</t>
  </si>
  <si>
    <t>(Вкл) - Итоговые нормы НР и СП округляются до целых, (Выкл) - до 2-х знаков после запятой</t>
  </si>
  <si>
    <t>{ОКРтек_НР_СП} -  (вкл)     -    нормы НР и СП округляются до целых                        ( выкл.) -   нормы НР и СП округляютя до двух знаковов после запятой</t>
  </si>
  <si>
    <t>СЛЖ</t>
  </si>
  <si>
    <t>Коэфф. 1.2 к НР  при работах на сложных объектах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</si>
  <si>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</si>
  <si>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УПР</t>
  </si>
  <si>
    <t>Упрощенное налогообложение Коэф. = 0,9 к СП ( коэф. = 0,7 к НР при упрощенной системе налогооблажения отменен с 1.01.2011 )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</si>
  <si>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</si>
  <si>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</si>
  <si>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Коэфф. 0,6 к НР при хозяйственном способе работ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</si>
  <si>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</si>
  <si>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мАВИА</t>
  </si>
  <si>
    <t>При работах по диспечеризации управления движением авиа/траспортом ( монтаж оборудования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</si>
  <si>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</si>
  <si>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мАЭС</t>
  </si>
  <si>
    <t>При работах на АЭС ( монтаж оборудования )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</si>
  <si>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</si>
  <si>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_МДСрем_НР</t>
  </si>
  <si>
    <t>Коэфф. 0,90    к НР при ремонте жилых и общ. зд.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</si>
  <si>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</si>
  <si>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_МДСрем_СП</t>
  </si>
  <si>
    <t>Коэфф. 0,85    к СП при ремонте зданий и сооруженй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</si>
  <si>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</si>
  <si>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_ТЕК_НР</t>
  </si>
  <si>
    <t>Коэфф. 0,85    к НР для текущего уровня цен с 01.01.2011 при  обычной системе налогообложения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</si>
  <si>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</si>
  <si>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_ТЕК_СП</t>
  </si>
  <si>
    <t>Коэфф. 0,80    к СП для текущего уровня цен с 01.01.2011 при  обычной системе налогообложения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</si>
  <si>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</si>
  <si>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УПРтек_НР</t>
  </si>
  <si>
    <t>Упрощенное налогобложение:  Коэфф. 0,94  к НР для текущего уровня цен с 01.01.2011 при  упрощенной системе налогообложения</t>
  </si>
  <si>
    <t>Для норм НР с 1.01.2011 года при упрощенном налогообложении: если {УПР} - вкл.  · {УПРтек_НР} = 0.94  -  При упрощенном налогообложении в текущем уровне цен   ·</t>
  </si>
  <si>
    <t>Уровень цен</t>
  </si>
  <si>
    <t>_OBSM_</t>
  </si>
  <si>
    <t>1-1038</t>
  </si>
  <si>
    <t>Рабочий строитель среднего разряда 3,8</t>
  </si>
  <si>
    <t>чел.-ч</t>
  </si>
  <si>
    <t>Затраты труда машинистов</t>
  </si>
  <si>
    <t>чел.час</t>
  </si>
  <si>
    <t>050101</t>
  </si>
  <si>
    <t>ФСЭМ 050101 пр.№31/пр от 30.01.2014 г.</t>
  </si>
  <si>
    <t>Компрессоры передвижные с двигателем внутреннего сгорания давлением до 686 кПа (7 ат), производительность  до 5 м3/мин</t>
  </si>
  <si>
    <t>маш.-ч</t>
  </si>
  <si>
    <t>330804</t>
  </si>
  <si>
    <t>ФСЭМ 330804 пр.№31/пр от 30.01.2014 г.</t>
  </si>
  <si>
    <t>Молотки при работе от передвижных компрессорных станций отбойные пневматические</t>
  </si>
  <si>
    <t>1-1030</t>
  </si>
  <si>
    <t>Рабочий строитель среднего разряда 3</t>
  </si>
  <si>
    <t>030954</t>
  </si>
  <si>
    <t>ФСЭМ 030954 пр.№31/пр от 30.01.2014 г.</t>
  </si>
  <si>
    <t>Подъемники грузоподъемностью до 500 кг одномачтовые, высота подъема 45 м</t>
  </si>
  <si>
    <t>509-9900</t>
  </si>
  <si>
    <t>ФССЦ 509-9900 пр.№31/пр от 30.01.2014 г.</t>
  </si>
  <si>
    <t>Строительный мусор</t>
  </si>
  <si>
    <t>113-0324</t>
  </si>
  <si>
    <t>ФССЦ (2010) ч.1, раздел13, поз.0324</t>
  </si>
  <si>
    <t>Пленка полиэтиленовая толщиной 0,2-0,5 мм</t>
  </si>
  <si>
    <t>м2</t>
  </si>
  <si>
    <t>1-1040</t>
  </si>
  <si>
    <t>Рабочий строитель среднего разряда 4</t>
  </si>
  <si>
    <t>391602</t>
  </si>
  <si>
    <t>ФСЭМ 331801 пр.№31/пр от 30.01.2014 г.</t>
  </si>
  <si>
    <t>Автобетононасос</t>
  </si>
  <si>
    <t>Труба профильная 50*50*3</t>
  </si>
  <si>
    <t>102-0114</t>
  </si>
  <si>
    <t>ФССЦ 102-0114 пр.№31/пр от 30.01.2014 г.</t>
  </si>
  <si>
    <t>Доски обрезные хвойных пород длиной 2-3,75 м, шириной 75-150 мм, толщиной 25 мм, IV сорта</t>
  </si>
  <si>
    <t>м3</t>
  </si>
  <si>
    <t>401-0046</t>
  </si>
  <si>
    <t>ФССЦ 401-0046 пр.№31/пр от 30.01.2014 г.</t>
  </si>
  <si>
    <t>Бетон М 250</t>
  </si>
  <si>
    <t>1-1029</t>
  </si>
  <si>
    <t>Рабочий строитель среднего разряда 2,9</t>
  </si>
  <si>
    <t>509-9899</t>
  </si>
  <si>
    <t>ФССЦ 509-9899 пр.№31/пр от 30.01.2014 г.</t>
  </si>
  <si>
    <t>Строительный мусор и масса возвратных материалов</t>
  </si>
  <si>
    <t>1-1042</t>
  </si>
  <si>
    <t>Рабочий строитель среднего разряда 4,2</t>
  </si>
  <si>
    <t>021141</t>
  </si>
  <si>
    <t>ФСЭМ 021141 пр.№31/пр от 30.01.2014 г.</t>
  </si>
  <si>
    <t>Краны на автомобильном ходу при работе на других видах строительства 10 т</t>
  </si>
  <si>
    <t>400001</t>
  </si>
  <si>
    <t>ФСЭМ 400001 пр.№31/пр от 30.01.2014 г.</t>
  </si>
  <si>
    <t>Автомобили бортовые, грузоподъемность до 5 т</t>
  </si>
  <si>
    <t>Отвод ПЭ ф110 литой</t>
  </si>
  <si>
    <t>ШТ</t>
  </si>
  <si>
    <t>Труба ПНД</t>
  </si>
  <si>
    <t>м</t>
  </si>
  <si>
    <t>Фланец 100-16 атм</t>
  </si>
  <si>
    <t>101-2576</t>
  </si>
  <si>
    <t>ФССЦ 101-2576 пр.№31/пр от 30.01.2014 г.</t>
  </si>
  <si>
    <t>Болты с гайками и шайбами для санитарно-технических работ диаметром 16 мм</t>
  </si>
  <si>
    <t>1-1035</t>
  </si>
  <si>
    <t>Рабочий строитель среднего разряда 3,5</t>
  </si>
  <si>
    <t>ФСЭМ (2009), сб.03,поз.0954</t>
  </si>
  <si>
    <t>ФСЭМ (2009), сб.40,поз.0001</t>
  </si>
  <si>
    <t>301-9400</t>
  </si>
  <si>
    <t>ФССЦ (2010) ч.3, раздел01, поз.9400</t>
  </si>
  <si>
    <t>Приборы санитарно-технические</t>
  </si>
  <si>
    <t>компл.</t>
  </si>
  <si>
    <t>1-1036</t>
  </si>
  <si>
    <t>Рабочий строитель среднего разряда 3,6</t>
  </si>
  <si>
    <t>030952</t>
  </si>
  <si>
    <t>ФСЭМ 030952 пр.№31/пр от 30.01.2014 г.</t>
  </si>
  <si>
    <t>Подъемники грузоподъемностью до 500 кг одномачтовые, высота подъема 25 м</t>
  </si>
  <si>
    <t>340101</t>
  </si>
  <si>
    <t>ФСЭМ 340101 пр.№31/пр от 30.01.2014 г.</t>
  </si>
  <si>
    <t>Агрегаты окрасочные высокого давления для окраски поверхностей конструкций мощностью 1 кВт</t>
  </si>
  <si>
    <t>маш.-ч.</t>
  </si>
  <si>
    <t>101-1757</t>
  </si>
  <si>
    <t>ФССЦ 101-1757 пр.№31/пр от 30.01.2014 г.</t>
  </si>
  <si>
    <t>Ветошь</t>
  </si>
  <si>
    <t>кг</t>
  </si>
  <si>
    <t>101-4163</t>
  </si>
  <si>
    <t>ФССЦ 101-4163 пр.№31/пр от 30.01.2014 г.</t>
  </si>
  <si>
    <t>Грунтовка акриловая НОРТЕКС-ГРУНТ</t>
  </si>
  <si>
    <t>1-1043</t>
  </si>
  <si>
    <t>Рабочий строитель среднего разряда 4,3</t>
  </si>
  <si>
    <t>030101</t>
  </si>
  <si>
    <t>ФСЭМ 030101 пр.№31/пр от 30.01.2014 г.</t>
  </si>
  <si>
    <t>Автопогрузчики 5 т</t>
  </si>
  <si>
    <t>030401</t>
  </si>
  <si>
    <t>ФСЭМ 030401 пр.№31/пр от 30.01.2014 г.</t>
  </si>
  <si>
    <t>Лебедки электрические тяговым усилием до 5,79 кН (0,59 т)</t>
  </si>
  <si>
    <t>101-0069</t>
  </si>
  <si>
    <t>ФССЦ 101-0069 пр.№31/пр от 30.01.2014 г.</t>
  </si>
  <si>
    <t>Бензин авиационный Б-70</t>
  </si>
  <si>
    <t>101-0329</t>
  </si>
  <si>
    <t>ФССЦ 101-0329 пр.№31/пр от 30.01.2014 г.</t>
  </si>
  <si>
    <t>Клей 88-СА</t>
  </si>
  <si>
    <t>113-0264</t>
  </si>
  <si>
    <t>ФССЦ 113-0264 пр.№31/пр от 30.01.2014 г.</t>
  </si>
  <si>
    <t>Эфир этиловый технический</t>
  </si>
  <si>
    <t>113-0360</t>
  </si>
  <si>
    <t>ФССЦ 113-0360 пр.№31/пр от 30.01.2014 г.</t>
  </si>
  <si>
    <t>Пластины полиизобутиленовые ПСГ</t>
  </si>
  <si>
    <t>1-1046</t>
  </si>
  <si>
    <t>Рабочий строитель среднего разряда 4,6</t>
  </si>
  <si>
    <t>110901</t>
  </si>
  <si>
    <t>ФСЭМ 110901 пр.№31/пр от 30.01.2014 г.</t>
  </si>
  <si>
    <t>Растворосмесители передвижные 65 л</t>
  </si>
  <si>
    <t>331400</t>
  </si>
  <si>
    <t>ФСЭМ 331400 пр.№31/пр от 30.01.2014 г.</t>
  </si>
  <si>
    <t>Станок камнерезный универсальный</t>
  </si>
  <si>
    <t>101-2313</t>
  </si>
  <si>
    <t>ФССЦ 101-2313 пр.№31/пр от 30.01.2014 г.</t>
  </si>
  <si>
    <t>Натрий кремнефтористый технический, сорт I</t>
  </si>
  <si>
    <t>101-2319</t>
  </si>
  <si>
    <t>ФССЦ 101-2319 пр.№31/пр от 30.01.2014 г.</t>
  </si>
  <si>
    <t>Стекло натриевое жидкое каустическое</t>
  </si>
  <si>
    <t>113-0132</t>
  </si>
  <si>
    <t>ФССЦ 113-0132 пр.№31/пр от 30.01.2014 г.</t>
  </si>
  <si>
    <t>Плитки кислотоупорные шамотные квадратные и прямоугольные толщиной 35 мм</t>
  </si>
  <si>
    <t>113-0310</t>
  </si>
  <si>
    <t>ФССЦ 113-0310 пр.№31/пр от 30.01.2014 г.</t>
  </si>
  <si>
    <t>Порошок № 2 для кислотоупорной замазки</t>
  </si>
  <si>
    <t>113-0003</t>
  </si>
  <si>
    <t>ФССЦ 113-0003 пр.№31/пр от 30.01.2014 г.</t>
  </si>
  <si>
    <t>Ацетон технический, сорт I</t>
  </si>
  <si>
    <t>113-0152</t>
  </si>
  <si>
    <t>ФССЦ 113-0152 пр.№31/пр от 30.01.2014 г.</t>
  </si>
  <si>
    <t>Полиэтиленполиамин (ПЭПА) технический, марка А</t>
  </si>
  <si>
    <t>113-0163</t>
  </si>
  <si>
    <t>ФССЦ 113-0163 пр.№31/пр от 30.01.2014 г.</t>
  </si>
  <si>
    <t>Смола эпоксидная марки ЭД-20</t>
  </si>
  <si>
    <t>113-0338</t>
  </si>
  <si>
    <t>ФССЦ 113-0338 пр.№31/пр от 30.01.2014 г.</t>
  </si>
  <si>
    <t>Дибутилфталат технический, сорт I</t>
  </si>
  <si>
    <t>1-1011</t>
  </si>
  <si>
    <t>Рабочий строитель среднего разряда 1,1</t>
  </si>
  <si>
    <t>ФССЦ (2010) ч.5, раздел09, поз.9900</t>
  </si>
  <si>
    <t>060248</t>
  </si>
  <si>
    <t>ЦЭМ  сб.06,поз.0248</t>
  </si>
  <si>
    <t>Экскаваторы одноковшовые дизельные на гусеничном ходу при работе на других видах строительства 0,65 м3</t>
  </si>
  <si>
    <t>маш.ч</t>
  </si>
  <si>
    <t>МАШ.Ч</t>
  </si>
  <si>
    <t>автомобиль-самосвал-10 т</t>
  </si>
  <si>
    <t>331801</t>
  </si>
  <si>
    <t>Комплексы вакуумные типа СО-177</t>
  </si>
  <si>
    <t>Бетон тяжелый, крупность заполнителя 40 мм, класс В15 (М200)</t>
  </si>
  <si>
    <t>411-0001</t>
  </si>
  <si>
    <t>ФССЦ 411-0001 пр.№31/пр от 30.01.2014 г.</t>
  </si>
  <si>
    <t>Вода</t>
  </si>
  <si>
    <t>020129</t>
  </si>
  <si>
    <t>ФСЭМ 020129 пр.№31/пр от 30.01.2014 г.</t>
  </si>
  <si>
    <t>Краны башенные при работе на других видах строительства 8 т</t>
  </si>
  <si>
    <t>101-2449</t>
  </si>
  <si>
    <t>ФССЦ 101-2449 пр.№31/пр от 30.01.2014 г.</t>
  </si>
  <si>
    <t>Кольца резиновые для чугунных напорных труб диаметром 50-300 мм</t>
  </si>
  <si>
    <t>301-9240</t>
  </si>
  <si>
    <t>ФССЦ 301-9240 пр.№31/пр от 30.01.2014 г.</t>
  </si>
  <si>
    <t>Крепления</t>
  </si>
  <si>
    <t>302-3340</t>
  </si>
  <si>
    <t>ФССЦ 302-3340 пр.№31/пр от 30.01.2014 г.</t>
  </si>
  <si>
    <t>Трубопроводы канализации из полиэтиленовых труб высокой плотности с гильзами, диаметром 110 мм</t>
  </si>
  <si>
    <t>302-9120</t>
  </si>
  <si>
    <t>ФССЦ 302-9120 пр.№31/пр от 30.01.2014 г.</t>
  </si>
  <si>
    <t>Задвижки</t>
  </si>
  <si>
    <t>шт.</t>
  </si>
  <si>
    <t>101-0311</t>
  </si>
  <si>
    <t>ФССЦ (2010) ч.1, раздел01, поз.0311</t>
  </si>
  <si>
    <t>Каболка</t>
  </si>
  <si>
    <t>101-2429</t>
  </si>
  <si>
    <t>ФССЦ (2010) ч.1, раздел01, поз.2429</t>
  </si>
  <si>
    <t>Цемент расширяющийся</t>
  </si>
  <si>
    <t>113-0001</t>
  </si>
  <si>
    <t>ФССЦ 113-0001 пр.№31/пр от 30.01.2014 г.</t>
  </si>
  <si>
    <t>Аэросил, марка А-175</t>
  </si>
  <si>
    <t xml:space="preserve">Строительные работы </t>
  </si>
  <si>
    <t>тыс. руб.</t>
  </si>
  <si>
    <t>№ п/п</t>
  </si>
  <si>
    <t>Шифр норм</t>
  </si>
  <si>
    <t>Наименование видов работ и затрат</t>
  </si>
  <si>
    <t>Единица измерения</t>
  </si>
  <si>
    <t>Количество</t>
  </si>
  <si>
    <t>Сметная стоимость в текущих (прогнозных) ценах, руб.</t>
  </si>
  <si>
    <t>Трудозатраты рабочих, чел.-ч</t>
  </si>
  <si>
    <t>Трудозатраты машинистов, чел.-ч</t>
  </si>
  <si>
    <t>На единицу</t>
  </si>
  <si>
    <t>Общая</t>
  </si>
  <si>
    <t>В том числе</t>
  </si>
  <si>
    <t>Основная зарплата</t>
  </si>
  <si>
    <t>Зарплата машинистов</t>
  </si>
  <si>
    <t>Материалы</t>
  </si>
  <si>
    <t xml:space="preserve"> </t>
  </si>
  <si>
    <r>
      <t>Разборка в зданиях и сооружения с агрессивными средами покрытий полов из кирпича, уложенного на битумной мастике или кислотоупорном растворе</t>
    </r>
    <r>
      <rPr>
        <i/>
        <sz val="10"/>
        <color indexed="58"/>
        <rFont val="Times New Roman"/>
        <family val="1"/>
      </rPr>
      <t xml:space="preserve">
К=НР=93,5; СП=56</t>
    </r>
  </si>
  <si>
    <t>Итого с НР и СП</t>
  </si>
  <si>
    <r>
      <t>Разборка цементной стяжки.</t>
    </r>
    <r>
      <rPr>
        <i/>
        <sz val="10"/>
        <color indexed="58"/>
        <rFont val="Times New Roman"/>
        <family val="1"/>
      </rPr>
      <t xml:space="preserve">
К=НР=68; СП=54,4</t>
    </r>
  </si>
  <si>
    <r>
      <t>Устройство гидроизоляции из полиэтиленовой пленки в один слой</t>
    </r>
    <r>
      <rPr>
        <i/>
        <sz val="10"/>
        <color indexed="58"/>
        <rFont val="Times New Roman"/>
        <family val="1"/>
      </rPr>
      <t xml:space="preserve">
К=(ЭММ, ЗПМ, ТЗМ)*1,25*1,2; (ОЗП, ТЗ)*1,15*1,2; НР=94,1; СП=51</t>
    </r>
  </si>
  <si>
    <r>
      <t>Рабочий строитель среднего разряда 3</t>
    </r>
    <r>
      <rPr>
        <i/>
        <sz val="10"/>
        <rFont val="Times New Roman"/>
        <family val="1"/>
      </rPr>
      <t xml:space="preserve">
к норм. расх. *1,15*1,2</t>
    </r>
  </si>
  <si>
    <r>
      <t>Устройство полов бетонных толщиной 100 мм</t>
    </r>
    <r>
      <rPr>
        <i/>
        <sz val="10"/>
        <color indexed="58"/>
        <rFont val="Times New Roman"/>
        <family val="1"/>
      </rPr>
      <t xml:space="preserve">
К=(ЭММ, ЗПМ, ТЗМ)*1,25*1,2; (ОЗП, ТЗ)*1,15*1,2; НР=94,1; СП=51</t>
    </r>
  </si>
  <si>
    <r>
      <t>Рабочий строитель среднего разряда 4</t>
    </r>
    <r>
      <rPr>
        <i/>
        <sz val="10"/>
        <rFont val="Times New Roman"/>
        <family val="1"/>
      </rPr>
      <t xml:space="preserve">
к норм. расх. *1,15*1,2</t>
    </r>
  </si>
  <si>
    <r>
      <t>Затраты труда машинистов</t>
    </r>
    <r>
      <rPr>
        <i/>
        <sz val="10"/>
        <rFont val="Times New Roman"/>
        <family val="1"/>
      </rPr>
      <t xml:space="preserve">
к норм. расх. *1,25*1,2</t>
    </r>
  </si>
  <si>
    <r>
      <t>Автобетононасос</t>
    </r>
    <r>
      <rPr>
        <i/>
        <sz val="10"/>
        <rFont val="Times New Roman"/>
        <family val="1"/>
      </rPr>
      <t xml:space="preserve">
к норм. расх. *1,25*1,2</t>
    </r>
  </si>
  <si>
    <r>
      <t>Разборка трубопроводов из чугунных канализационных труб диаметром 100 мм</t>
    </r>
    <r>
      <rPr>
        <i/>
        <sz val="10"/>
        <color indexed="58"/>
        <rFont val="Times New Roman"/>
        <family val="1"/>
      </rPr>
      <t xml:space="preserve">
К=НР=62,9; СП=40</t>
    </r>
  </si>
  <si>
    <r>
      <t>Прокладка трубопроводов канализации из полиэтиленовых труб высокой плотности диаметром 110 мм</t>
    </r>
    <r>
      <rPr>
        <i/>
        <sz val="10"/>
        <color indexed="58"/>
        <rFont val="Times New Roman"/>
        <family val="1"/>
      </rPr>
      <t xml:space="preserve">
К=(ЭММ, ЗПМ, ТЗМ)*1,25*1,2; (ОЗП, ТЗ)*1,15*1,2; НР=97,92; СП=56,44</t>
    </r>
  </si>
  <si>
    <r>
      <t>Рабочий строитель среднего разряда 4,2</t>
    </r>
    <r>
      <rPr>
        <i/>
        <sz val="10"/>
        <rFont val="Times New Roman"/>
        <family val="1"/>
      </rPr>
      <t xml:space="preserve">
к норм. расх. *1,15*1,2</t>
    </r>
  </si>
  <si>
    <r>
      <t>Краны на автомобильном ходу при работе на других видах строительства 10 т</t>
    </r>
    <r>
      <rPr>
        <i/>
        <sz val="10"/>
        <rFont val="Times New Roman"/>
        <family val="1"/>
      </rPr>
      <t xml:space="preserve">
к норм. расх. *1,25*1,2</t>
    </r>
  </si>
  <si>
    <r>
      <t>Автомобили бортовые, грузоподъемность до 5 т</t>
    </r>
    <r>
      <rPr>
        <i/>
        <sz val="10"/>
        <rFont val="Times New Roman"/>
        <family val="1"/>
      </rPr>
      <t xml:space="preserve">
к норм. расх. *1,25*1,2</t>
    </r>
  </si>
  <si>
    <r>
      <t>Смена трапов диаметром до 100 мм</t>
    </r>
    <r>
      <rPr>
        <i/>
        <sz val="10"/>
        <color indexed="58"/>
        <rFont val="Times New Roman"/>
        <family val="1"/>
      </rPr>
      <t xml:space="preserve">
К=НР=87,55; СП=48</t>
    </r>
  </si>
  <si>
    <r>
      <t>Грунтование полов за 1 раз.</t>
    </r>
    <r>
      <rPr>
        <i/>
        <sz val="10"/>
        <color indexed="58"/>
        <rFont val="Times New Roman"/>
        <family val="1"/>
      </rPr>
      <t xml:space="preserve">
К=(ЭММ, ЗПМ, ТЗМ)*1,2*1,25; (ОЗП, ТЗ)*1,2*1,15; НР=80,33; СП=37,4</t>
    </r>
  </si>
  <si>
    <r>
      <t>Рабочий строитель среднего разряда 3,6</t>
    </r>
    <r>
      <rPr>
        <i/>
        <sz val="10"/>
        <rFont val="Times New Roman"/>
        <family val="1"/>
      </rPr>
      <t xml:space="preserve">
к норм. расх. *1,2*1,15</t>
    </r>
  </si>
  <si>
    <r>
      <t>Затраты труда машинистов</t>
    </r>
    <r>
      <rPr>
        <i/>
        <sz val="10"/>
        <rFont val="Times New Roman"/>
        <family val="1"/>
      </rPr>
      <t xml:space="preserve">
к норм. расх. *1,2*1,25</t>
    </r>
  </si>
  <si>
    <r>
      <t>Подъемники грузоподъемностью до 500 кг одномачтовые, высота подъема 25 м</t>
    </r>
    <r>
      <rPr>
        <i/>
        <sz val="10"/>
        <rFont val="Times New Roman"/>
        <family val="1"/>
      </rPr>
      <t xml:space="preserve">
к норм. расх. *1,2*1,25</t>
    </r>
  </si>
  <si>
    <r>
      <t>Агрегаты окрасочные высокого давления для окраски поверхностей конструкций мощностью 1 кВт</t>
    </r>
    <r>
      <rPr>
        <i/>
        <sz val="10"/>
        <rFont val="Times New Roman"/>
        <family val="1"/>
      </rPr>
      <t xml:space="preserve">
к норм. расх. *1,2*1,25</t>
    </r>
  </si>
  <si>
    <r>
      <t>Автомобили бортовые, грузоподъемность до 5 т</t>
    </r>
    <r>
      <rPr>
        <i/>
        <sz val="10"/>
        <rFont val="Times New Roman"/>
        <family val="1"/>
      </rPr>
      <t xml:space="preserve">
к норм. расх. *1,2*1,25</t>
    </r>
  </si>
  <si>
    <r>
      <t>Оклейка бетонной поверхности полиизобутиленовыми пластинами толщиной 2,5 мм на клее 88-СА с пастой в 2 слоя</t>
    </r>
    <r>
      <rPr>
        <i/>
        <sz val="10"/>
        <color indexed="58"/>
        <rFont val="Times New Roman"/>
        <family val="1"/>
      </rPr>
      <t xml:space="preserve">
К=(ЭММ, ЗПМ, ТЗМ)*1,25*1,2; (ОЗП, ТЗ)*1,15*1,2; НР=68,85; СП=47,6</t>
    </r>
  </si>
  <si>
    <r>
      <t>Рабочий строитель среднего разряда 4,3</t>
    </r>
    <r>
      <rPr>
        <i/>
        <sz val="10"/>
        <rFont val="Times New Roman"/>
        <family val="1"/>
      </rPr>
      <t xml:space="preserve">
к норм. расх. *1,15*1,2</t>
    </r>
  </si>
  <si>
    <r>
      <t>Автопогрузчики 5 т</t>
    </r>
    <r>
      <rPr>
        <i/>
        <sz val="10"/>
        <rFont val="Times New Roman"/>
        <family val="1"/>
      </rPr>
      <t xml:space="preserve">
к норм. расх. *1,25*1,2</t>
    </r>
  </si>
  <si>
    <r>
      <t>Лебедки электрические тяговым усилием до 5,79 кН (0,59 т)</t>
    </r>
    <r>
      <rPr>
        <i/>
        <sz val="10"/>
        <rFont val="Times New Roman"/>
        <family val="1"/>
      </rPr>
      <t xml:space="preserve">
к норм. расх. *1,25*1,2</t>
    </r>
  </si>
  <si>
    <r>
      <t>Футеровка штучными кислотоупорными материалами на силикатной кислотоупорной замазке впустошовку плиткой кислотоупорной (керамической) толщиной 35 мм</t>
    </r>
    <r>
      <rPr>
        <i/>
        <sz val="10"/>
        <color indexed="58"/>
        <rFont val="Times New Roman"/>
        <family val="1"/>
      </rPr>
      <t xml:space="preserve">
К=(ЭММ, ЗПМ, ТЗМ)*1,25*1,2; (ОЗП, ТЗ)*1,15*1,2; НР=68,85; СП=47,6</t>
    </r>
  </si>
  <si>
    <r>
      <t>Рабочий строитель среднего разряда 4,6</t>
    </r>
    <r>
      <rPr>
        <i/>
        <sz val="10"/>
        <rFont val="Times New Roman"/>
        <family val="1"/>
      </rPr>
      <t xml:space="preserve">
к норм. расх. *1,15*1,2</t>
    </r>
  </si>
  <si>
    <r>
      <t>Растворосмесители передвижные 65 л</t>
    </r>
    <r>
      <rPr>
        <i/>
        <sz val="10"/>
        <rFont val="Times New Roman"/>
        <family val="1"/>
      </rPr>
      <t xml:space="preserve">
к норм. расх. *1,25*1,2</t>
    </r>
  </si>
  <si>
    <r>
      <t>Станок камнерезный универсальный</t>
    </r>
    <r>
      <rPr>
        <i/>
        <sz val="10"/>
        <rFont val="Times New Roman"/>
        <family val="1"/>
      </rPr>
      <t xml:space="preserve">
к норм. расх. *1,25*1,2</t>
    </r>
  </si>
  <si>
    <r>
      <t>Разделка швов футеровки эпоксидной замазкой при укладке плитки кислотоупорной керамической, глубина заполнения швов 15 мм</t>
    </r>
    <r>
      <rPr>
        <i/>
        <sz val="10"/>
        <color indexed="58"/>
        <rFont val="Times New Roman"/>
        <family val="1"/>
      </rPr>
      <t xml:space="preserve">
К=(ЭММ, ЗПМ, ТЗМ)*1,25*1,2; (ОЗП, ТЗ)*1,15*1,2; НР=68,85; СП=47,6</t>
    </r>
  </si>
  <si>
    <r>
      <t>Очистка помещений от строительного мусора</t>
    </r>
    <r>
      <rPr>
        <i/>
        <sz val="10"/>
        <color indexed="58"/>
        <rFont val="Times New Roman"/>
        <family val="1"/>
      </rPr>
      <t xml:space="preserve">
К=НР=66,3; СП=40</t>
    </r>
  </si>
  <si>
    <r>
      <t>Погрузка: Мусор   строительный   с   погрузкой   экскаваторами емкостью ковша до 0,5мЗ</t>
    </r>
    <r>
      <rPr>
        <i/>
        <sz val="10"/>
        <color indexed="58"/>
        <rFont val="Times New Roman"/>
        <family val="1"/>
      </rPr>
      <t xml:space="preserve">
К=НР=85; СП=48</t>
    </r>
  </si>
  <si>
    <t>TYPE</t>
  </si>
  <si>
    <t>LINK</t>
  </si>
  <si>
    <t>RABMAT_EX</t>
  </si>
  <si>
    <t>TIP_RAB</t>
  </si>
  <si>
    <t>TYPE_TRUD</t>
  </si>
  <si>
    <t>TAB</t>
  </si>
  <si>
    <t>NAME</t>
  </si>
  <si>
    <t>EDIZM</t>
  </si>
  <si>
    <t>KOLL</t>
  </si>
  <si>
    <t>UCH</t>
  </si>
  <si>
    <t>PRICE_B</t>
  </si>
  <si>
    <t>STOIM_B</t>
  </si>
  <si>
    <t>PRICE_C</t>
  </si>
  <si>
    <t>STOIM_C</t>
  </si>
  <si>
    <t>CRC_GR_RES</t>
  </si>
  <si>
    <t>CRC_B</t>
  </si>
  <si>
    <t>CRC_C</t>
  </si>
  <si>
    <t>BuildingFinished</t>
  </si>
  <si>
    <t>Trud</t>
  </si>
  <si>
    <t>Mash</t>
  </si>
  <si>
    <t>Mat</t>
  </si>
  <si>
    <t>MatZak</t>
  </si>
  <si>
    <t>Oborud</t>
  </si>
  <si>
    <t>OborudZak</t>
  </si>
  <si>
    <t>ZeroStoim</t>
  </si>
  <si>
    <t>NegativeKoll</t>
  </si>
  <si>
    <t>ReUnionKollResurcy</t>
  </si>
  <si>
    <t>Ресурсная ведомость на</t>
  </si>
  <si>
    <t>Объект: полы травление+мал гальваника</t>
  </si>
  <si>
    <t>Обоснование</t>
  </si>
  <si>
    <t>Наименование</t>
  </si>
  <si>
    <t>Объем</t>
  </si>
  <si>
    <t>Базовая</t>
  </si>
  <si>
    <t>цена</t>
  </si>
  <si>
    <t>стоимость</t>
  </si>
  <si>
    <t>Локальная смета: Участок полов в корпусе № 15 цех 6 в осях (8-12) (Б-В)</t>
  </si>
  <si>
    <t>Материальные ресурсы (неучтенные)</t>
  </si>
  <si>
    <t xml:space="preserve">Итого материальные ресурсы </t>
  </si>
  <si>
    <t>Итого по объекту: полы травление+мал гальваника</t>
  </si>
  <si>
    <t xml:space="preserve">Итого материалы заказчика </t>
  </si>
  <si>
    <t>"УТВЕРЖДАЮ"</t>
  </si>
  <si>
    <t>" ___ " ___________ 20 ___ г.</t>
  </si>
  <si>
    <t xml:space="preserve">Мы, нижеподписавшиеся, произвели осмотр объекта </t>
  </si>
  <si>
    <t xml:space="preserve">и постановили произвести ремонт объекта в </t>
  </si>
  <si>
    <t>следующем объеме:</t>
  </si>
  <si>
    <t>Наименование работ и затрат</t>
  </si>
  <si>
    <t>Примечание</t>
  </si>
  <si>
    <t>Заказчик _________________</t>
  </si>
  <si>
    <t>Подрядчик _________________</t>
  </si>
  <si>
    <t xml:space="preserve">Приложение № 2  к договору №                                               от    </t>
  </si>
  <si>
    <t>"Согласовано"</t>
  </si>
  <si>
    <t>"Утверждаю"</t>
  </si>
  <si>
    <t>Директор ООО "Промтехвуз-М"</t>
  </si>
  <si>
    <t>Генеральный директор АО "ММЗ"</t>
  </si>
  <si>
    <t>_______________ / Логушин И.Ю. /</t>
  </si>
  <si>
    <t>_______________ / Ефремов Б.И./</t>
  </si>
  <si>
    <t>"_____" __________________  2017 г.</t>
  </si>
  <si>
    <t>СМЕТА</t>
  </si>
  <si>
    <t>На Устройство полов участка травления цеха 6 в осях (В - Г) (8 - 12) корпуса 15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</si>
</sst>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* _-#,##0\ &quot;?&quot;;* \-#,##0\ &quot;?&quot;;* _-&quot;-&quot;\ &quot;?&quot;;@"/>
    <numFmt numFmtId="177" formatCode="* #,##0;* \-#,##0;* &quot;-&quot;;@"/>
    <numFmt numFmtId="178" formatCode="* _-#,##0.00\ &quot;?&quot;;* \-#,##0.00\ &quot;?&quot;;* _-&quot;-&quot;??\ &quot;?&quot;;@"/>
    <numFmt numFmtId="179" formatCode="* #,##0.00;* \-#,##0.00;* &quot;-&quot;??;@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;[Red]\-\ #,##0.00"/>
    <numFmt numFmtId="185" formatCode="#,##0;[Red]\-\ #,##0"/>
    <numFmt numFmtId="186" formatCode="#,##0.00####;[Red]\-\ #,##0.00####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20"/>
      <name val="Arial"/>
      <family val="0"/>
    </font>
    <font>
      <b/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b/>
      <sz val="10"/>
      <color indexed="14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0"/>
      <color indexed="58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33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wrapText="1"/>
    </xf>
    <xf numFmtId="184" fontId="13" fillId="0" borderId="0" xfId="0" applyNumberFormat="1" applyFont="1" applyAlignment="1">
      <alignment horizontal="right" wrapText="1"/>
    </xf>
    <xf numFmtId="0" fontId="16" fillId="0" borderId="0" xfId="0" applyFont="1" applyAlignment="1">
      <alignment/>
    </xf>
    <xf numFmtId="0" fontId="62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right" vertical="top" wrapText="1"/>
    </xf>
    <xf numFmtId="0" fontId="62" fillId="0" borderId="10" xfId="0" applyFont="1" applyBorder="1" applyAlignment="1">
      <alignment horizontal="right"/>
    </xf>
    <xf numFmtId="184" fontId="62" fillId="0" borderId="10" xfId="0" applyNumberFormat="1" applyFont="1" applyBorder="1" applyAlignment="1">
      <alignment horizontal="right"/>
    </xf>
    <xf numFmtId="185" fontId="62" fillId="0" borderId="10" xfId="0" applyNumberFormat="1" applyFont="1" applyBorder="1" applyAlignment="1">
      <alignment horizontal="right"/>
    </xf>
    <xf numFmtId="186" fontId="62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horizontal="right" vertical="top"/>
    </xf>
    <xf numFmtId="185" fontId="13" fillId="0" borderId="10" xfId="0" applyNumberFormat="1" applyFont="1" applyBorder="1" applyAlignment="1">
      <alignment horizontal="right" vertical="top"/>
    </xf>
    <xf numFmtId="0" fontId="17" fillId="0" borderId="11" xfId="0" applyFont="1" applyBorder="1" applyAlignment="1">
      <alignment horizontal="left" vertical="top"/>
    </xf>
    <xf numFmtId="0" fontId="17" fillId="0" borderId="11" xfId="0" applyFont="1" applyBorder="1" applyAlignment="1">
      <alignment horizontal="right" vertical="top"/>
    </xf>
    <xf numFmtId="185" fontId="17" fillId="0" borderId="11" xfId="0" applyNumberFormat="1" applyFont="1" applyBorder="1" applyAlignment="1">
      <alignment horizontal="right" vertical="top"/>
    </xf>
    <xf numFmtId="0" fontId="19" fillId="0" borderId="12" xfId="0" applyFont="1" applyBorder="1" applyAlignment="1">
      <alignment horizontal="right" wrapText="1"/>
    </xf>
    <xf numFmtId="0" fontId="19" fillId="0" borderId="13" xfId="0" applyFont="1" applyBorder="1" applyAlignment="1">
      <alignment horizontal="right" wrapText="1"/>
    </xf>
    <xf numFmtId="0" fontId="19" fillId="0" borderId="14" xfId="0" applyFont="1" applyBorder="1" applyAlignment="1">
      <alignment horizontal="right" wrapText="1"/>
    </xf>
    <xf numFmtId="0" fontId="19" fillId="0" borderId="13" xfId="0" applyFont="1" applyBorder="1" applyAlignment="1">
      <alignment horizontal="left" wrapText="1"/>
    </xf>
    <xf numFmtId="184" fontId="19" fillId="0" borderId="13" xfId="0" applyNumberFormat="1" applyFont="1" applyBorder="1" applyAlignment="1">
      <alignment horizontal="right" wrapText="1"/>
    </xf>
    <xf numFmtId="185" fontId="19" fillId="0" borderId="13" xfId="0" applyNumberFormat="1" applyFont="1" applyBorder="1" applyAlignment="1">
      <alignment horizontal="right" wrapText="1"/>
    </xf>
    <xf numFmtId="0" fontId="19" fillId="0" borderId="15" xfId="0" applyFont="1" applyBorder="1" applyAlignment="1">
      <alignment horizontal="right" wrapText="1"/>
    </xf>
    <xf numFmtId="0" fontId="19" fillId="0" borderId="16" xfId="0" applyFont="1" applyBorder="1" applyAlignment="1">
      <alignment horizontal="right" wrapText="1"/>
    </xf>
    <xf numFmtId="0" fontId="19" fillId="0" borderId="17" xfId="0" applyFont="1" applyBorder="1" applyAlignment="1">
      <alignment horizontal="right" wrapText="1"/>
    </xf>
    <xf numFmtId="0" fontId="19" fillId="0" borderId="16" xfId="0" applyFont="1" applyBorder="1" applyAlignment="1">
      <alignment horizontal="left" wrapText="1"/>
    </xf>
    <xf numFmtId="184" fontId="19" fillId="0" borderId="16" xfId="0" applyNumberFormat="1" applyFont="1" applyBorder="1" applyAlignment="1">
      <alignment horizontal="right" wrapText="1"/>
    </xf>
    <xf numFmtId="185" fontId="19" fillId="0" borderId="16" xfId="0" applyNumberFormat="1" applyFont="1" applyBorder="1" applyAlignment="1">
      <alignment horizontal="right" wrapText="1"/>
    </xf>
    <xf numFmtId="0" fontId="19" fillId="0" borderId="18" xfId="0" applyFont="1" applyBorder="1" applyAlignment="1">
      <alignment horizontal="right" wrapText="1"/>
    </xf>
    <xf numFmtId="0" fontId="19" fillId="0" borderId="19" xfId="0" applyFont="1" applyBorder="1" applyAlignment="1">
      <alignment horizontal="left" wrapText="1"/>
    </xf>
    <xf numFmtId="0" fontId="19" fillId="0" borderId="19" xfId="0" applyFont="1" applyBorder="1" applyAlignment="1">
      <alignment horizontal="right" wrapText="1"/>
    </xf>
    <xf numFmtId="184" fontId="19" fillId="0" borderId="19" xfId="0" applyNumberFormat="1" applyFont="1" applyBorder="1" applyAlignment="1">
      <alignment horizontal="right" wrapText="1"/>
    </xf>
    <xf numFmtId="185" fontId="19" fillId="0" borderId="19" xfId="0" applyNumberFormat="1" applyFont="1" applyBorder="1" applyAlignment="1">
      <alignment horizontal="right" wrapText="1"/>
    </xf>
    <xf numFmtId="0" fontId="19" fillId="0" borderId="20" xfId="0" applyFont="1" applyBorder="1" applyAlignment="1">
      <alignment horizontal="right" wrapText="1"/>
    </xf>
    <xf numFmtId="184" fontId="17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 wrapText="1"/>
    </xf>
    <xf numFmtId="185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 quotePrefix="1">
      <alignment horizontal="left" wrapText="1"/>
    </xf>
    <xf numFmtId="0" fontId="63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5" fillId="0" borderId="11" xfId="0" applyFont="1" applyBorder="1" applyAlignment="1" quotePrefix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left" vertical="top" wrapText="1"/>
    </xf>
    <xf numFmtId="0" fontId="13" fillId="0" borderId="11" xfId="0" applyFont="1" applyBorder="1" applyAlignment="1">
      <alignment horizontal="right" wrapText="1"/>
    </xf>
    <xf numFmtId="184" fontId="13" fillId="0" borderId="11" xfId="0" applyNumberFormat="1" applyFont="1" applyBorder="1" applyAlignment="1">
      <alignment horizontal="right" wrapText="1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vertical="top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left" vertical="top"/>
    </xf>
    <xf numFmtId="0" fontId="16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right" wrapText="1"/>
    </xf>
    <xf numFmtId="0" fontId="16" fillId="0" borderId="11" xfId="0" applyFont="1" applyBorder="1" applyAlignment="1">
      <alignment horizontal="right"/>
    </xf>
    <xf numFmtId="0" fontId="16" fillId="0" borderId="10" xfId="0" applyFont="1" applyBorder="1" applyAlignment="1">
      <alignment horizontal="left" vertical="top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horizontal="right"/>
    </xf>
    <xf numFmtId="0" fontId="20" fillId="0" borderId="0" xfId="0" applyFont="1" applyAlignment="1">
      <alignment/>
    </xf>
    <xf numFmtId="0" fontId="23" fillId="0" borderId="11" xfId="0" applyFont="1" applyBorder="1" applyAlignment="1" quotePrefix="1">
      <alignment horizontal="center" vertical="center" wrapText="1"/>
    </xf>
    <xf numFmtId="49" fontId="16" fillId="0" borderId="11" xfId="0" applyNumberFormat="1" applyFont="1" applyBorder="1" applyAlignment="1">
      <alignment horizontal="left" vertical="top" wrapText="1"/>
    </xf>
    <xf numFmtId="184" fontId="16" fillId="0" borderId="11" xfId="0" applyNumberFormat="1" applyFont="1" applyBorder="1" applyAlignment="1">
      <alignment horizontal="right" wrapText="1"/>
    </xf>
    <xf numFmtId="185" fontId="17" fillId="0" borderId="11" xfId="0" applyNumberFormat="1" applyFont="1" applyBorder="1" applyAlignment="1">
      <alignment horizontal="right"/>
    </xf>
    <xf numFmtId="0" fontId="24" fillId="0" borderId="11" xfId="0" applyFont="1" applyBorder="1" applyAlignment="1">
      <alignment/>
    </xf>
    <xf numFmtId="0" fontId="1" fillId="0" borderId="0" xfId="0" applyFont="1" applyAlignment="1">
      <alignment/>
    </xf>
    <xf numFmtId="0" fontId="17" fillId="0" borderId="11" xfId="0" applyFont="1" applyBorder="1" applyAlignment="1" quotePrefix="1">
      <alignment horizontal="left" wrapText="1"/>
    </xf>
    <xf numFmtId="185" fontId="13" fillId="0" borderId="11" xfId="0" applyNumberFormat="1" applyFont="1" applyBorder="1" applyAlignment="1">
      <alignment/>
    </xf>
    <xf numFmtId="0" fontId="13" fillId="0" borderId="0" xfId="0" applyFont="1" applyAlignment="1">
      <alignment horizontal="center" vertical="top"/>
    </xf>
    <xf numFmtId="49" fontId="13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52" applyFont="1" applyFill="1" applyBorder="1">
      <alignment/>
      <protection/>
    </xf>
    <xf numFmtId="0" fontId="11" fillId="0" borderId="0" xfId="52" applyFont="1" applyFill="1" applyBorder="1">
      <alignment/>
      <protection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6" fillId="0" borderId="0" xfId="52" applyFont="1" applyFill="1" applyBorder="1">
      <alignment/>
      <protection/>
    </xf>
    <xf numFmtId="0" fontId="20" fillId="0" borderId="0" xfId="52" applyFont="1" applyFill="1" applyBorder="1" applyAlignment="1">
      <alignment horizontal="left" wrapText="1"/>
      <protection/>
    </xf>
    <xf numFmtId="0" fontId="13" fillId="0" borderId="0" xfId="52" applyFont="1" applyFill="1" applyBorder="1" applyAlignment="1">
      <alignment/>
      <protection/>
    </xf>
    <xf numFmtId="0" fontId="11" fillId="0" borderId="0" xfId="0" applyNumberFormat="1" applyFont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left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wrapText="1"/>
    </xf>
    <xf numFmtId="0" fontId="11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right"/>
    </xf>
    <xf numFmtId="184" fontId="17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20" fillId="0" borderId="38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3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right"/>
    </xf>
    <xf numFmtId="184" fontId="20" fillId="0" borderId="11" xfId="0" applyNumberFormat="1" applyFont="1" applyBorder="1" applyAlignment="1">
      <alignment horizontal="right"/>
    </xf>
    <xf numFmtId="0" fontId="20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5;&#1088;&#1086;&#1084;&#1090;&#1077;&#1093;&#1074;&#1091;&#1079;\(&#1087;&#1088;&#1080;&#1089;&#1090;&#1088;&#1086;&#1081;)%20&#1082;&#1086;&#1084;&#1085;&#1072;&#1090;&#1072;%20&#1074;&#1083;&#1072;&#1075;&#1080;\&#1055;&#1088;&#1080;&#1089;&#1090;&#1088;&#1086;&#1081;%20(&#1082;&#1086;&#1084;&#1085;&#1072;&#1090;&#1072;%20&#1074;&#1083;&#1072;&#1075;&#1080;)&#1089;&#1084;&#1077;&#1090;&#1072;%2003.04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ектная ведомость"/>
      <sheetName val="Смета в текущих ценах(14гр"/>
      <sheetName val="Source"/>
      <sheetName val="SourceObSm"/>
      <sheetName val="SmtRes"/>
      <sheetName val="Etalon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9"/>
  <sheetViews>
    <sheetView tabSelected="1" zoomScalePageLayoutView="0" workbookViewId="0" topLeftCell="A142">
      <selection activeCell="G162" sqref="G162"/>
    </sheetView>
  </sheetViews>
  <sheetFormatPr defaultColWidth="9.140625" defaultRowHeight="12.75"/>
  <cols>
    <col min="1" max="1" width="6.28125" style="0" customWidth="1"/>
    <col min="2" max="2" width="15.7109375" style="0" customWidth="1"/>
    <col min="3" max="3" width="40.7109375" style="0" customWidth="1"/>
    <col min="4" max="14" width="12.7109375" style="0" customWidth="1"/>
    <col min="20" max="26" width="0" style="0" hidden="1" customWidth="1"/>
    <col min="27" max="27" width="160.28125" style="0" hidden="1" customWidth="1"/>
    <col min="28" max="30" width="0" style="0" hidden="1" customWidth="1"/>
    <col min="31" max="31" width="196.28125" style="0" hidden="1" customWidth="1"/>
    <col min="32" max="33" width="0" style="0" hidden="1" customWidth="1"/>
    <col min="34" max="34" width="112.28125" style="0" hidden="1" customWidth="1"/>
    <col min="35" max="36" width="0" style="0" hidden="1" customWidth="1"/>
  </cols>
  <sheetData>
    <row r="1" spans="1:14" s="9" customFormat="1" ht="13.5" customHeight="1">
      <c r="A1" s="83"/>
      <c r="B1" s="84"/>
      <c r="C1" s="85"/>
      <c r="G1" s="86"/>
      <c r="H1" s="113" t="s">
        <v>502</v>
      </c>
      <c r="I1" s="113"/>
      <c r="J1" s="113"/>
      <c r="K1" s="113"/>
      <c r="L1" s="113"/>
      <c r="M1" s="113"/>
      <c r="N1" s="113"/>
    </row>
    <row r="2" spans="1:14" s="9" customFormat="1" ht="13.5" customHeight="1">
      <c r="A2" s="83"/>
      <c r="B2" s="84"/>
      <c r="C2" s="85"/>
      <c r="G2" s="86"/>
      <c r="H2" s="87"/>
      <c r="I2" s="87"/>
      <c r="J2" s="87"/>
      <c r="K2" s="87"/>
      <c r="L2" s="87"/>
      <c r="M2" s="87"/>
      <c r="N2" s="87"/>
    </row>
    <row r="3" spans="1:14" s="90" customFormat="1" ht="12.75" customHeight="1">
      <c r="A3" s="88"/>
      <c r="B3" s="88"/>
      <c r="C3" s="88"/>
      <c r="D3" s="88"/>
      <c r="E3" s="88"/>
      <c r="F3" s="88"/>
      <c r="G3" s="88"/>
      <c r="H3" s="88"/>
      <c r="I3" s="88"/>
      <c r="J3" s="89"/>
      <c r="K3" s="89"/>
      <c r="L3" s="89"/>
      <c r="M3" s="89"/>
      <c r="N3" s="89"/>
    </row>
    <row r="4" spans="1:14" s="9" customFormat="1" ht="15.75" customHeight="1">
      <c r="A4" s="91"/>
      <c r="B4" s="104" t="s">
        <v>503</v>
      </c>
      <c r="C4" s="104"/>
      <c r="D4" s="104"/>
      <c r="E4" s="104"/>
      <c r="I4" s="92"/>
      <c r="J4" s="104" t="s">
        <v>504</v>
      </c>
      <c r="K4" s="104"/>
      <c r="L4" s="104"/>
      <c r="M4" s="104"/>
      <c r="N4" s="104"/>
    </row>
    <row r="5" spans="1:28" s="9" customFormat="1" ht="15.75" customHeight="1">
      <c r="A5" s="91"/>
      <c r="B5" s="104" t="s">
        <v>505</v>
      </c>
      <c r="C5" s="104"/>
      <c r="D5" s="104"/>
      <c r="E5" s="104"/>
      <c r="I5" s="92"/>
      <c r="J5" s="104" t="s">
        <v>506</v>
      </c>
      <c r="K5" s="104"/>
      <c r="L5" s="104"/>
      <c r="M5" s="104"/>
      <c r="N5" s="104"/>
      <c r="AB5" s="93"/>
    </row>
    <row r="6" spans="1:28" s="9" customFormat="1" ht="15.75" customHeight="1">
      <c r="A6" s="91"/>
      <c r="B6" s="104" t="s">
        <v>507</v>
      </c>
      <c r="C6" s="104"/>
      <c r="D6" s="104"/>
      <c r="E6" s="104"/>
      <c r="I6" s="92"/>
      <c r="J6" s="104" t="s">
        <v>508</v>
      </c>
      <c r="K6" s="104"/>
      <c r="L6" s="104"/>
      <c r="M6" s="104"/>
      <c r="N6" s="104"/>
      <c r="AB6" s="93" t="str">
        <f>CONCATENATE(IF('[1]Source'!AH14&lt;&gt;"",'[1]Source'!AH14," "),"__________")</f>
        <v> __________</v>
      </c>
    </row>
    <row r="7" spans="1:14" s="9" customFormat="1" ht="15.75" customHeight="1">
      <c r="A7" s="91"/>
      <c r="B7" s="104" t="s">
        <v>509</v>
      </c>
      <c r="C7" s="104"/>
      <c r="D7" s="104"/>
      <c r="E7" s="104"/>
      <c r="I7" s="92"/>
      <c r="J7" s="104" t="s">
        <v>509</v>
      </c>
      <c r="K7" s="104"/>
      <c r="L7" s="104"/>
      <c r="M7" s="104"/>
      <c r="N7" s="104"/>
    </row>
    <row r="8" spans="1:14" s="12" customFormat="1" ht="15">
      <c r="A8" s="94"/>
      <c r="B8" s="95"/>
      <c r="C8" s="95"/>
      <c r="D8" s="95"/>
      <c r="E8" s="95"/>
      <c r="F8" s="94"/>
      <c r="G8" s="94"/>
      <c r="H8" s="94"/>
      <c r="I8" s="94"/>
      <c r="J8" s="96"/>
      <c r="K8" s="96"/>
      <c r="L8" s="96"/>
      <c r="M8" s="96"/>
      <c r="N8" s="96"/>
    </row>
    <row r="9" spans="1:12" s="8" customFormat="1" ht="12.75">
      <c r="A9" s="97"/>
      <c r="B9" s="98"/>
      <c r="D9" s="99"/>
      <c r="E9" s="100"/>
      <c r="F9" s="99"/>
      <c r="G9" s="99"/>
      <c r="H9" s="99"/>
      <c r="I9" s="99"/>
      <c r="J9" s="99"/>
      <c r="K9" s="99"/>
      <c r="L9" s="99"/>
    </row>
    <row r="10" spans="1:12" s="8" customFormat="1" ht="15.75">
      <c r="A10" s="97"/>
      <c r="B10" s="98"/>
      <c r="E10" s="100"/>
      <c r="F10" s="101" t="s">
        <v>510</v>
      </c>
      <c r="G10" s="102"/>
      <c r="H10" s="99"/>
      <c r="I10" s="99"/>
      <c r="J10" s="99"/>
      <c r="K10" s="99"/>
      <c r="L10" s="99"/>
    </row>
    <row r="11" spans="1:13" s="8" customFormat="1" ht="18" customHeight="1">
      <c r="A11" s="97"/>
      <c r="B11" s="151" t="s">
        <v>511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</row>
    <row r="12" spans="1:14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5">
      <c r="A13" s="103" t="s">
        <v>404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1">
        <f>(Source!F79)/1000</f>
        <v>2031.649</v>
      </c>
      <c r="N13" s="10" t="s">
        <v>405</v>
      </c>
    </row>
    <row r="14" spans="1:14" ht="15">
      <c r="A14" s="105" t="s">
        <v>406</v>
      </c>
      <c r="B14" s="105" t="s">
        <v>407</v>
      </c>
      <c r="C14" s="105" t="s">
        <v>408</v>
      </c>
      <c r="D14" s="105" t="s">
        <v>409</v>
      </c>
      <c r="E14" s="108" t="s">
        <v>410</v>
      </c>
      <c r="F14" s="109"/>
      <c r="G14" s="108" t="s">
        <v>411</v>
      </c>
      <c r="H14" s="110"/>
      <c r="I14" s="110"/>
      <c r="J14" s="110"/>
      <c r="K14" s="110"/>
      <c r="L14" s="109"/>
      <c r="M14" s="105" t="s">
        <v>412</v>
      </c>
      <c r="N14" s="105" t="s">
        <v>413</v>
      </c>
    </row>
    <row r="15" spans="1:14" ht="15">
      <c r="A15" s="106"/>
      <c r="B15" s="106"/>
      <c r="C15" s="106"/>
      <c r="D15" s="106"/>
      <c r="E15" s="105" t="s">
        <v>414</v>
      </c>
      <c r="F15" s="105" t="s">
        <v>171</v>
      </c>
      <c r="G15" s="105" t="s">
        <v>414</v>
      </c>
      <c r="H15" s="105" t="s">
        <v>415</v>
      </c>
      <c r="I15" s="108" t="s">
        <v>416</v>
      </c>
      <c r="J15" s="110"/>
      <c r="K15" s="110"/>
      <c r="L15" s="109"/>
      <c r="M15" s="106"/>
      <c r="N15" s="106"/>
    </row>
    <row r="16" spans="1:14" ht="30">
      <c r="A16" s="107"/>
      <c r="B16" s="107"/>
      <c r="C16" s="107"/>
      <c r="D16" s="107"/>
      <c r="E16" s="107"/>
      <c r="F16" s="107"/>
      <c r="G16" s="107"/>
      <c r="H16" s="107"/>
      <c r="I16" s="47" t="s">
        <v>417</v>
      </c>
      <c r="J16" s="47" t="s">
        <v>148</v>
      </c>
      <c r="K16" s="47" t="s">
        <v>418</v>
      </c>
      <c r="L16" s="47" t="s">
        <v>419</v>
      </c>
      <c r="M16" s="107"/>
      <c r="N16" s="107"/>
    </row>
    <row r="17" spans="1:14" ht="15">
      <c r="A17" s="47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  <c r="N17" s="47">
        <v>14</v>
      </c>
    </row>
    <row r="18" spans="1:26" ht="84">
      <c r="A18" s="13" t="str">
        <f>IF(Source!E24&lt;&gt;"",Source!E24,"")</f>
        <v>1</v>
      </c>
      <c r="B18" s="13" t="str">
        <f>IF(Source!F24&lt;&gt;"",Source!F24,"")</f>
        <v>46-04-011-7</v>
      </c>
      <c r="C18" s="13" t="s">
        <v>421</v>
      </c>
      <c r="D18" s="14" t="str">
        <f>IF(Source!H24&lt;&gt;"",Source!H24,"")</f>
        <v>100 м2 покрытия</v>
      </c>
      <c r="E18" s="14" t="str">
        <f>IF(Source!J24=0," ",Source!J24)</f>
        <v> </v>
      </c>
      <c r="F18" s="15">
        <f>Source!I24</f>
        <v>1.7263</v>
      </c>
      <c r="G18" s="16">
        <f>IF(Source!AB24=0," ",Source!AB24)</f>
        <v>22264.58</v>
      </c>
      <c r="H18" s="17">
        <f>IF(Source!O24=0," ",Source!O24)</f>
        <v>38435</v>
      </c>
      <c r="I18" s="17">
        <f>IF(Source!S24=0," ",Source!S24)</f>
        <v>36621</v>
      </c>
      <c r="J18" s="17">
        <f>IF(Source!Q24=0," ",Source!Q24)</f>
        <v>1814</v>
      </c>
      <c r="K18" s="17" t="str">
        <f>IF(Source!R24=0," ",Source!R24)</f>
        <v> </v>
      </c>
      <c r="L18" s="17" t="str">
        <f>IF(Source!P24=0," ",Source!P24)</f>
        <v> </v>
      </c>
      <c r="M18" s="18">
        <f>IF(Source!U24=0," ",ROUND(Source!U24,6))</f>
        <v>263.934007</v>
      </c>
      <c r="N18" s="18">
        <f>IF(Source!V24=0," ",ROUND(Source!V24,6))</f>
        <v>3.297233</v>
      </c>
      <c r="T18">
        <f>IF(Source!O24=0," ",Source!O24)</f>
        <v>38435</v>
      </c>
      <c r="U18" t="s">
        <v>420</v>
      </c>
      <c r="V18">
        <f>IF(Source!S24=0," ",Source!S24)</f>
        <v>36621</v>
      </c>
      <c r="W18">
        <f>IF(Source!Q24=0," ",Source!Q24)</f>
        <v>1814</v>
      </c>
      <c r="X18" t="str">
        <f>IF(Source!R24=0," ",Source!R24)</f>
        <v> </v>
      </c>
      <c r="Y18">
        <f>IF(Source!U24=0," ",ROUND(Source!U24,6))</f>
        <v>263.934007</v>
      </c>
      <c r="Z18">
        <f>IF(Source!V24=0," ",ROUND(Source!V24,6))</f>
        <v>3.297233</v>
      </c>
    </row>
    <row r="19" spans="1:14" ht="15">
      <c r="A19" s="48"/>
      <c r="B19" s="48"/>
      <c r="C19" s="19" t="s">
        <v>168</v>
      </c>
      <c r="D19" s="20" t="str">
        <f>CONCATENATE(Source!AT24," %")</f>
        <v>93,5 %</v>
      </c>
      <c r="E19" s="20"/>
      <c r="F19" s="20"/>
      <c r="G19" s="20"/>
      <c r="H19" s="21">
        <f>Source!X24</f>
        <v>34241</v>
      </c>
      <c r="I19" s="48"/>
      <c r="J19" s="48"/>
      <c r="K19" s="48"/>
      <c r="L19" s="48"/>
      <c r="M19" s="48"/>
      <c r="N19" s="48"/>
    </row>
    <row r="20" spans="1:14" ht="15">
      <c r="A20" s="48"/>
      <c r="B20" s="48"/>
      <c r="C20" s="19" t="s">
        <v>170</v>
      </c>
      <c r="D20" s="20" t="str">
        <f>CONCATENATE(Source!AU24," %")</f>
        <v>56 %</v>
      </c>
      <c r="E20" s="20"/>
      <c r="F20" s="20"/>
      <c r="G20" s="20"/>
      <c r="H20" s="21">
        <f>Source!Y24</f>
        <v>20508</v>
      </c>
      <c r="I20" s="48"/>
      <c r="J20" s="48"/>
      <c r="K20" s="48"/>
      <c r="L20" s="48"/>
      <c r="M20" s="48"/>
      <c r="N20" s="48"/>
    </row>
    <row r="21" spans="1:14" ht="14.25">
      <c r="A21" s="49"/>
      <c r="B21" s="49"/>
      <c r="C21" s="22" t="s">
        <v>422</v>
      </c>
      <c r="D21" s="23"/>
      <c r="E21" s="23"/>
      <c r="F21" s="23"/>
      <c r="G21" s="23"/>
      <c r="H21" s="24">
        <f>SUMIF(Source!AA24:Source!AA24,"=26917020",Source!GM24:Source!GM24)</f>
        <v>93184</v>
      </c>
      <c r="I21" s="49"/>
      <c r="J21" s="49"/>
      <c r="K21" s="49"/>
      <c r="L21" s="49"/>
      <c r="M21" s="49"/>
      <c r="N21" s="49"/>
    </row>
    <row r="22" spans="1:14" ht="30">
      <c r="A22" s="25"/>
      <c r="B22" s="28" t="str">
        <f>SmtRes!I1</f>
        <v>1-1038</v>
      </c>
      <c r="C22" s="28" t="str">
        <f>SmtRes!K1</f>
        <v>Рабочий строитель среднего разряда 3,8</v>
      </c>
      <c r="D22" s="26" t="str">
        <f>SmtRes!O1</f>
        <v>чел.-ч</v>
      </c>
      <c r="E22" s="26">
        <f>SmtRes!Y1</f>
        <v>152.89</v>
      </c>
      <c r="F22" s="26">
        <f>SmtRes!Y1*Source!I24</f>
        <v>263.93400699999995</v>
      </c>
      <c r="G22" s="29">
        <f>(SmtRes!AA1+SmtRes!AB1+SmtRes!AD1)</f>
        <v>138.75</v>
      </c>
      <c r="H22" s="30">
        <f>(SmtRes!AA1*SmtRes!Y1*Source!I24+SmtRes!AB1*SmtRes!Y1*Source!I24+SmtRes!AD1*SmtRes!Y1*Source!I24)</f>
        <v>36620.843471249995</v>
      </c>
      <c r="I22" s="30">
        <f>SmtRes!AD1*SmtRes!Y1*Source!I24</f>
        <v>36620.843471249995</v>
      </c>
      <c r="J22" s="26"/>
      <c r="K22" s="26"/>
      <c r="L22" s="26"/>
      <c r="M22" s="26"/>
      <c r="N22" s="27"/>
    </row>
    <row r="23" spans="1:14" ht="15">
      <c r="A23" s="31"/>
      <c r="B23" s="34" t="str">
        <f>SmtRes!I2</f>
        <v>2</v>
      </c>
      <c r="C23" s="34" t="str">
        <f>SmtRes!K2</f>
        <v>Затраты труда машинистов</v>
      </c>
      <c r="D23" s="32" t="str">
        <f>SmtRes!O2</f>
        <v>чел.час</v>
      </c>
      <c r="E23" s="32">
        <f>SmtRes!Y2</f>
        <v>1.91</v>
      </c>
      <c r="F23" s="32">
        <f>SmtRes!Y2*Source!I24</f>
        <v>3.297233</v>
      </c>
      <c r="G23" s="35">
        <f>(SmtRes!AA2+SmtRes!AB2+SmtRes!AD2)</f>
        <v>0</v>
      </c>
      <c r="H23" s="36">
        <f>(SmtRes!AA2*SmtRes!Y2*Source!I24+SmtRes!AB2*SmtRes!Y2*Source!I24+SmtRes!AD2*SmtRes!Y2*Source!I24)</f>
        <v>0</v>
      </c>
      <c r="I23" s="32"/>
      <c r="J23" s="32"/>
      <c r="K23" s="36">
        <f>SmtRes!AC2*SmtRes!Y2*Source!I24</f>
        <v>0</v>
      </c>
      <c r="L23" s="32"/>
      <c r="M23" s="32"/>
      <c r="N23" s="33"/>
    </row>
    <row r="24" spans="1:14" ht="60">
      <c r="A24" s="31"/>
      <c r="B24" s="34" t="str">
        <f>SmtRes!I3</f>
        <v>050101</v>
      </c>
      <c r="C24" s="34" t="str">
        <f>SmtRes!K3</f>
        <v>Компрессоры передвижные с двигателем внутреннего сгорания давлением до 686 кПа (7 ат), производительность  до 5 м3/мин</v>
      </c>
      <c r="D24" s="32" t="str">
        <f>SmtRes!O3</f>
        <v>маш.-ч</v>
      </c>
      <c r="E24" s="32">
        <f>SmtRes!Y3</f>
        <v>1.91</v>
      </c>
      <c r="F24" s="32">
        <f>SmtRes!Y3*Source!I24</f>
        <v>3.297233</v>
      </c>
      <c r="G24" s="35">
        <f>(SmtRes!AA3+SmtRes!AB3+SmtRes!AD3)</f>
        <v>539.43</v>
      </c>
      <c r="H24" s="36">
        <f>(SmtRes!AA3*SmtRes!Y3*Source!I24+SmtRes!AB3*SmtRes!Y3*Source!I24+SmtRes!AD3*SmtRes!Y3*Source!I24)</f>
        <v>1778.6263971899996</v>
      </c>
      <c r="I24" s="32"/>
      <c r="J24" s="36">
        <f>SmtRes!AB3*SmtRes!Y3*Source!I24</f>
        <v>1778.6263971899996</v>
      </c>
      <c r="K24" s="36">
        <f>SmtRes!AC3*SmtRes!Y3*Source!I24</f>
        <v>0</v>
      </c>
      <c r="L24" s="32"/>
      <c r="M24" s="32"/>
      <c r="N24" s="33"/>
    </row>
    <row r="25" spans="1:14" ht="45">
      <c r="A25" s="37"/>
      <c r="B25" s="38" t="str">
        <f>SmtRes!I4</f>
        <v>330804</v>
      </c>
      <c r="C25" s="38" t="str">
        <f>SmtRes!K4</f>
        <v>Молотки при работе от передвижных компрессорных станций отбойные пневматические</v>
      </c>
      <c r="D25" s="39" t="str">
        <f>SmtRes!O4</f>
        <v>маш.-ч</v>
      </c>
      <c r="E25" s="39">
        <f>SmtRes!Y4</f>
        <v>3.82</v>
      </c>
      <c r="F25" s="39">
        <f>SmtRes!Y4*Source!I24</f>
        <v>6.594466</v>
      </c>
      <c r="G25" s="40">
        <f>(SmtRes!AA4+SmtRes!AB4+SmtRes!AD4)</f>
        <v>5.44</v>
      </c>
      <c r="H25" s="41">
        <f>(SmtRes!AA4*SmtRes!Y4*Source!I24+SmtRes!AB4*SmtRes!Y4*Source!I24+SmtRes!AD4*SmtRes!Y4*Source!I24)</f>
        <v>35.87389504</v>
      </c>
      <c r="I25" s="39"/>
      <c r="J25" s="41">
        <f>SmtRes!AB4*SmtRes!Y4*Source!I24</f>
        <v>35.87389504</v>
      </c>
      <c r="K25" s="41">
        <f>SmtRes!AC4*SmtRes!Y4*Source!I24</f>
        <v>0</v>
      </c>
      <c r="L25" s="39"/>
      <c r="M25" s="39"/>
      <c r="N25" s="42"/>
    </row>
    <row r="26" spans="1:26" ht="28.5">
      <c r="A26" s="13" t="str">
        <f>IF(Source!E25&lt;&gt;"",Source!E25,"")</f>
        <v>2</v>
      </c>
      <c r="B26" s="13" t="str">
        <f>IF(Source!F25&lt;&gt;"",Source!F25,"")</f>
        <v>57-2-4</v>
      </c>
      <c r="C26" s="13" t="s">
        <v>423</v>
      </c>
      <c r="D26" s="14" t="str">
        <f>IF(Source!H25&lt;&gt;"",Source!H25,"")</f>
        <v>100 м2 покрытия</v>
      </c>
      <c r="E26" s="14" t="str">
        <f>IF(Source!J25=0," ",Source!J25)</f>
        <v> </v>
      </c>
      <c r="F26" s="15">
        <f>Source!I25</f>
        <v>1.629</v>
      </c>
      <c r="G26" s="16">
        <f>IF(Source!AB25=0," ",Source!AB25)</f>
        <v>25012.1</v>
      </c>
      <c r="H26" s="17">
        <f>IF(Source!O25=0," ",Source!O25)</f>
        <v>40745</v>
      </c>
      <c r="I26" s="17">
        <f>IF(Source!S25=0," ",Source!S25)</f>
        <v>22774</v>
      </c>
      <c r="J26" s="17">
        <f>IF(Source!Q25=0," ",Source!Q25)</f>
        <v>17971</v>
      </c>
      <c r="K26" s="17" t="str">
        <f>IF(Source!R25=0," ",Source!R25)</f>
        <v> </v>
      </c>
      <c r="L26" s="17" t="str">
        <f>IF(Source!P25=0," ",Source!P25)</f>
        <v> </v>
      </c>
      <c r="M26" s="18">
        <f>IF(Source!U25=0," ",ROUND(Source!U25,6))</f>
        <v>181.1448</v>
      </c>
      <c r="N26" s="18">
        <f>IF(Source!V25=0," ",ROUND(Source!V25,6))</f>
        <v>34.209</v>
      </c>
      <c r="T26">
        <f>IF(Source!O25=0," ",Source!O25)</f>
        <v>40745</v>
      </c>
      <c r="U26" t="s">
        <v>420</v>
      </c>
      <c r="V26">
        <f>IF(Source!S25=0," ",Source!S25)</f>
        <v>22774</v>
      </c>
      <c r="W26">
        <f>IF(Source!Q25=0," ",Source!Q25)</f>
        <v>17971</v>
      </c>
      <c r="X26" t="str">
        <f>IF(Source!R25=0," ",Source!R25)</f>
        <v> </v>
      </c>
      <c r="Y26">
        <f>IF(Source!U25=0," ",ROUND(Source!U25,6))</f>
        <v>181.1448</v>
      </c>
      <c r="Z26">
        <f>IF(Source!V25=0," ",ROUND(Source!V25,6))</f>
        <v>34.209</v>
      </c>
    </row>
    <row r="27" spans="1:14" ht="15">
      <c r="A27" s="48"/>
      <c r="B27" s="48"/>
      <c r="C27" s="19" t="s">
        <v>168</v>
      </c>
      <c r="D27" s="20" t="str">
        <f>CONCATENATE(Source!AT25," %")</f>
        <v>68 %</v>
      </c>
      <c r="E27" s="20"/>
      <c r="F27" s="20"/>
      <c r="G27" s="20"/>
      <c r="H27" s="21">
        <f>Source!X25</f>
        <v>15486</v>
      </c>
      <c r="I27" s="48"/>
      <c r="J27" s="48"/>
      <c r="K27" s="48"/>
      <c r="L27" s="48"/>
      <c r="M27" s="48"/>
      <c r="N27" s="48"/>
    </row>
    <row r="28" spans="1:14" ht="15">
      <c r="A28" s="48"/>
      <c r="B28" s="48"/>
      <c r="C28" s="19" t="s">
        <v>170</v>
      </c>
      <c r="D28" s="20" t="str">
        <f>CONCATENATE(Source!AU25," %")</f>
        <v>54,4 %</v>
      </c>
      <c r="E28" s="20"/>
      <c r="F28" s="20"/>
      <c r="G28" s="20"/>
      <c r="H28" s="21">
        <f>Source!Y25</f>
        <v>12389</v>
      </c>
      <c r="I28" s="48"/>
      <c r="J28" s="48"/>
      <c r="K28" s="48"/>
      <c r="L28" s="48"/>
      <c r="M28" s="48"/>
      <c r="N28" s="48"/>
    </row>
    <row r="29" spans="1:14" ht="14.25">
      <c r="A29" s="49"/>
      <c r="B29" s="49"/>
      <c r="C29" s="22" t="s">
        <v>422</v>
      </c>
      <c r="D29" s="23"/>
      <c r="E29" s="23"/>
      <c r="F29" s="23"/>
      <c r="G29" s="23"/>
      <c r="H29" s="24">
        <f>SUMIF(Source!AA25:Source!AA25,"=26917020",Source!GM25:Source!GM25)</f>
        <v>68620</v>
      </c>
      <c r="I29" s="49"/>
      <c r="J29" s="49"/>
      <c r="K29" s="49"/>
      <c r="L29" s="49"/>
      <c r="M29" s="49"/>
      <c r="N29" s="49"/>
    </row>
    <row r="30" spans="1:14" ht="15">
      <c r="A30" s="25"/>
      <c r="B30" s="28" t="str">
        <f>SmtRes!I5</f>
        <v>1-1030</v>
      </c>
      <c r="C30" s="28" t="str">
        <f>SmtRes!K5</f>
        <v>Рабочий строитель среднего разряда 3</v>
      </c>
      <c r="D30" s="26" t="str">
        <f>SmtRes!O5</f>
        <v>чел.-ч</v>
      </c>
      <c r="E30" s="26">
        <f>SmtRes!Y5</f>
        <v>111.2</v>
      </c>
      <c r="F30" s="26">
        <f>SmtRes!Y5*Source!I25</f>
        <v>181.1448</v>
      </c>
      <c r="G30" s="29">
        <f>(SmtRes!AA5+SmtRes!AB5+SmtRes!AD5)</f>
        <v>125.72</v>
      </c>
      <c r="H30" s="30">
        <f>(SmtRes!AA5*SmtRes!Y5*Source!I25+SmtRes!AB5*SmtRes!Y5*Source!I25+SmtRes!AD5*SmtRes!Y5*Source!I25)</f>
        <v>22773.524256</v>
      </c>
      <c r="I30" s="30">
        <f>SmtRes!AD5*SmtRes!Y5*Source!I25</f>
        <v>22773.524256</v>
      </c>
      <c r="J30" s="26"/>
      <c r="K30" s="26"/>
      <c r="L30" s="26"/>
      <c r="M30" s="26"/>
      <c r="N30" s="27"/>
    </row>
    <row r="31" spans="1:14" ht="15">
      <c r="A31" s="31"/>
      <c r="B31" s="34" t="str">
        <f>SmtRes!I6</f>
        <v>2</v>
      </c>
      <c r="C31" s="34" t="str">
        <f>SmtRes!K6</f>
        <v>Затраты труда машинистов</v>
      </c>
      <c r="D31" s="32" t="str">
        <f>SmtRes!O6</f>
        <v>чел.час</v>
      </c>
      <c r="E31" s="32">
        <f>SmtRes!Y6</f>
        <v>21</v>
      </c>
      <c r="F31" s="32">
        <f>SmtRes!Y6*Source!I25</f>
        <v>34.209</v>
      </c>
      <c r="G31" s="35">
        <f>(SmtRes!AA6+SmtRes!AB6+SmtRes!AD6)</f>
        <v>0</v>
      </c>
      <c r="H31" s="36">
        <f>(SmtRes!AA6*SmtRes!Y6*Source!I25+SmtRes!AB6*SmtRes!Y6*Source!I25+SmtRes!AD6*SmtRes!Y6*Source!I25)</f>
        <v>0</v>
      </c>
      <c r="I31" s="32"/>
      <c r="J31" s="32"/>
      <c r="K31" s="36">
        <f>SmtRes!AC6*SmtRes!Y6*Source!I25</f>
        <v>0</v>
      </c>
      <c r="L31" s="32"/>
      <c r="M31" s="32"/>
      <c r="N31" s="33"/>
    </row>
    <row r="32" spans="1:14" ht="45">
      <c r="A32" s="31"/>
      <c r="B32" s="34" t="str">
        <f>SmtRes!I7</f>
        <v>030954</v>
      </c>
      <c r="C32" s="34" t="str">
        <f>SmtRes!K7</f>
        <v>Подъемники грузоподъемностью до 500 кг одномачтовые, высота подъема 45 м</v>
      </c>
      <c r="D32" s="32" t="str">
        <f>SmtRes!O7</f>
        <v>маш.-ч</v>
      </c>
      <c r="E32" s="32">
        <f>SmtRes!Y7</f>
        <v>1.8</v>
      </c>
      <c r="F32" s="32">
        <f>SmtRes!Y7*Source!I25</f>
        <v>2.9322</v>
      </c>
      <c r="G32" s="35">
        <f>(SmtRes!AA7+SmtRes!AB7+SmtRes!AD7)</f>
        <v>258.94</v>
      </c>
      <c r="H32" s="36">
        <f>(SmtRes!AA7*SmtRes!Y7*Source!I25+SmtRes!AB7*SmtRes!Y7*Source!I25+SmtRes!AD7*SmtRes!Y7*Source!I25)</f>
        <v>759.263868</v>
      </c>
      <c r="I32" s="32"/>
      <c r="J32" s="36">
        <f>SmtRes!AB7*SmtRes!Y7*Source!I25</f>
        <v>759.263868</v>
      </c>
      <c r="K32" s="36">
        <f>SmtRes!AC7*SmtRes!Y7*Source!I25</f>
        <v>0</v>
      </c>
      <c r="L32" s="32"/>
      <c r="M32" s="32"/>
      <c r="N32" s="33"/>
    </row>
    <row r="33" spans="1:14" ht="60">
      <c r="A33" s="31"/>
      <c r="B33" s="34" t="str">
        <f>SmtRes!I8</f>
        <v>050101</v>
      </c>
      <c r="C33" s="34" t="str">
        <f>SmtRes!K8</f>
        <v>Компрессоры передвижные с двигателем внутреннего сгорания давлением до 686 кПа (7 ат), производительность  до 5 м3/мин</v>
      </c>
      <c r="D33" s="32" t="str">
        <f>SmtRes!O8</f>
        <v>маш.-ч</v>
      </c>
      <c r="E33" s="32">
        <f>SmtRes!Y8</f>
        <v>19.2</v>
      </c>
      <c r="F33" s="32">
        <f>SmtRes!Y8*Source!I25</f>
        <v>31.276799999999998</v>
      </c>
      <c r="G33" s="35">
        <f>(SmtRes!AA8+SmtRes!AB8+SmtRes!AD8)</f>
        <v>539.43</v>
      </c>
      <c r="H33" s="36">
        <f>(SmtRes!AA8*SmtRes!Y8*Source!I25+SmtRes!AB8*SmtRes!Y8*Source!I25+SmtRes!AD8*SmtRes!Y8*Source!I25)</f>
        <v>16871.644224</v>
      </c>
      <c r="I33" s="32"/>
      <c r="J33" s="36">
        <f>SmtRes!AB8*SmtRes!Y8*Source!I25</f>
        <v>16871.644224</v>
      </c>
      <c r="K33" s="36">
        <f>SmtRes!AC8*SmtRes!Y8*Source!I25</f>
        <v>0</v>
      </c>
      <c r="L33" s="32"/>
      <c r="M33" s="32"/>
      <c r="N33" s="33"/>
    </row>
    <row r="34" spans="1:14" ht="45">
      <c r="A34" s="31"/>
      <c r="B34" s="34" t="str">
        <f>SmtRes!I9</f>
        <v>330804</v>
      </c>
      <c r="C34" s="34" t="str">
        <f>SmtRes!K9</f>
        <v>Молотки при работе от передвижных компрессорных станций отбойные пневматические</v>
      </c>
      <c r="D34" s="32" t="str">
        <f>SmtRes!O9</f>
        <v>маш.-ч</v>
      </c>
      <c r="E34" s="32">
        <f>SmtRes!Y9</f>
        <v>38.4</v>
      </c>
      <c r="F34" s="32">
        <f>SmtRes!Y9*Source!I25</f>
        <v>62.553599999999996</v>
      </c>
      <c r="G34" s="35">
        <f>(SmtRes!AA9+SmtRes!AB9+SmtRes!AD9)</f>
        <v>5.44</v>
      </c>
      <c r="H34" s="36">
        <f>(SmtRes!AA9*SmtRes!Y9*Source!I25+SmtRes!AB9*SmtRes!Y9*Source!I25+SmtRes!AD9*SmtRes!Y9*Source!I25)</f>
        <v>340.291584</v>
      </c>
      <c r="I34" s="32"/>
      <c r="J34" s="36">
        <f>SmtRes!AB9*SmtRes!Y9*Source!I25</f>
        <v>340.291584</v>
      </c>
      <c r="K34" s="36">
        <f>SmtRes!AC9*SmtRes!Y9*Source!I25</f>
        <v>0</v>
      </c>
      <c r="L34" s="32"/>
      <c r="M34" s="32"/>
      <c r="N34" s="33"/>
    </row>
    <row r="35" spans="1:14" ht="15">
      <c r="A35" s="37"/>
      <c r="B35" s="38" t="str">
        <f>SmtRes!I10</f>
        <v>509-9900</v>
      </c>
      <c r="C35" s="38" t="str">
        <f>SmtRes!K10</f>
        <v>Строительный мусор</v>
      </c>
      <c r="D35" s="39" t="str">
        <f>SmtRes!O10</f>
        <v>т</v>
      </c>
      <c r="E35" s="39">
        <f>SmtRes!Y10</f>
        <v>6.6</v>
      </c>
      <c r="F35" s="39">
        <f>SmtRes!Y10*Source!I25</f>
        <v>10.7514</v>
      </c>
      <c r="G35" s="40">
        <f>(SmtRes!AA10+SmtRes!AB10+SmtRes!AD10)</f>
        <v>0</v>
      </c>
      <c r="H35" s="41">
        <f>(SmtRes!AA10*SmtRes!Y10*Source!I25+SmtRes!AB10*SmtRes!Y10*Source!I25+SmtRes!AD10*SmtRes!Y10*Source!I25)</f>
        <v>0</v>
      </c>
      <c r="I35" s="39"/>
      <c r="J35" s="39"/>
      <c r="K35" s="39"/>
      <c r="L35" s="41">
        <f>SmtRes!AA10*SmtRes!Y10*Source!I25</f>
        <v>0</v>
      </c>
      <c r="M35" s="39"/>
      <c r="N35" s="42"/>
    </row>
    <row r="36" spans="1:26" ht="54">
      <c r="A36" s="13">
        <v>3</v>
      </c>
      <c r="B36" s="13" t="str">
        <f>IF(Source!F26&lt;&gt;"",Source!F26,"")</f>
        <v>11-01-050-1</v>
      </c>
      <c r="C36" s="13" t="s">
        <v>424</v>
      </c>
      <c r="D36" s="14" t="str">
        <f>IF(Source!H26&lt;&gt;"",Source!H26,"")</f>
        <v>100 м2 поверхности</v>
      </c>
      <c r="E36" s="14" t="str">
        <f>IF(Source!J26=0," ",Source!J26)</f>
        <v> </v>
      </c>
      <c r="F36" s="15">
        <f>Source!I26</f>
        <v>1.629</v>
      </c>
      <c r="G36" s="16">
        <f>IF(Source!AB26=0," ",Source!AB26)</f>
        <v>8396.65</v>
      </c>
      <c r="H36" s="17">
        <f>IF(Source!O26=0," ",Source!O26)</f>
        <v>13678</v>
      </c>
      <c r="I36" s="17">
        <f>IF(Source!S26=0," ",Source!S26)</f>
        <v>975</v>
      </c>
      <c r="J36" s="17" t="str">
        <f>IF(Source!Q26=0," ",Source!Q26)</f>
        <v> </v>
      </c>
      <c r="K36" s="17" t="str">
        <f>IF(Source!R26=0," ",Source!R26)</f>
        <v> </v>
      </c>
      <c r="L36" s="17">
        <f>IF(Source!P26=0," ",Source!P26)</f>
        <v>12703</v>
      </c>
      <c r="M36" s="18">
        <f>IF(Source!U26=0," ",ROUND(Source!U26,6))</f>
        <v>7.755669</v>
      </c>
      <c r="N36" s="18" t="str">
        <f>IF(Source!V26=0," ",ROUND(Source!V26,6))</f>
        <v> </v>
      </c>
      <c r="T36">
        <f>IF(Source!O26=0," ",Source!O26)</f>
        <v>13678</v>
      </c>
      <c r="U36">
        <v>12703</v>
      </c>
      <c r="V36">
        <f>IF(Source!S26=0," ",Source!S26)</f>
        <v>975</v>
      </c>
      <c r="W36" t="str">
        <f>IF(Source!Q26=0," ",Source!Q26)</f>
        <v> </v>
      </c>
      <c r="X36" t="str">
        <f>IF(Source!R26=0," ",Source!R26)</f>
        <v> </v>
      </c>
      <c r="Y36">
        <f>IF(Source!U26=0," ",ROUND(Source!U26,6))</f>
        <v>7.755669</v>
      </c>
      <c r="Z36" t="str">
        <f>IF(Source!V26=0," ",ROUND(Source!V26,6))</f>
        <v> </v>
      </c>
    </row>
    <row r="37" spans="1:14" ht="15">
      <c r="A37" s="48"/>
      <c r="B37" s="48"/>
      <c r="C37" s="19" t="s">
        <v>168</v>
      </c>
      <c r="D37" s="20" t="str">
        <f>CONCATENATE(Source!AT26," %")</f>
        <v>94,1 %</v>
      </c>
      <c r="E37" s="20"/>
      <c r="F37" s="20"/>
      <c r="G37" s="20"/>
      <c r="H37" s="21">
        <f>Source!X26</f>
        <v>917</v>
      </c>
      <c r="I37" s="48"/>
      <c r="J37" s="48"/>
      <c r="K37" s="48"/>
      <c r="L37" s="48"/>
      <c r="M37" s="48"/>
      <c r="N37" s="48"/>
    </row>
    <row r="38" spans="1:14" ht="15">
      <c r="A38" s="48"/>
      <c r="B38" s="48"/>
      <c r="C38" s="19" t="s">
        <v>170</v>
      </c>
      <c r="D38" s="20" t="str">
        <f>CONCATENATE(Source!AU26," %")</f>
        <v>51 %</v>
      </c>
      <c r="E38" s="20"/>
      <c r="F38" s="20"/>
      <c r="G38" s="20"/>
      <c r="H38" s="21">
        <f>Source!Y26</f>
        <v>497</v>
      </c>
      <c r="I38" s="48"/>
      <c r="J38" s="48"/>
      <c r="K38" s="48"/>
      <c r="L38" s="48"/>
      <c r="M38" s="48"/>
      <c r="N38" s="48"/>
    </row>
    <row r="39" spans="1:14" ht="14.25">
      <c r="A39" s="49"/>
      <c r="B39" s="49"/>
      <c r="C39" s="22" t="s">
        <v>422</v>
      </c>
      <c r="D39" s="23"/>
      <c r="E39" s="23"/>
      <c r="F39" s="23"/>
      <c r="G39" s="23"/>
      <c r="H39" s="24">
        <f>SUMIF(Source!AA26:Source!AA26,"=26917020",Source!GM26:Source!GM26)</f>
        <v>15092</v>
      </c>
      <c r="I39" s="49"/>
      <c r="J39" s="49"/>
      <c r="K39" s="49"/>
      <c r="L39" s="49"/>
      <c r="M39" s="49"/>
      <c r="N39" s="49"/>
    </row>
    <row r="40" spans="1:14" ht="28.5">
      <c r="A40" s="25"/>
      <c r="B40" s="28" t="str">
        <f>SmtRes!I11</f>
        <v>1-1030</v>
      </c>
      <c r="C40" s="28" t="s">
        <v>425</v>
      </c>
      <c r="D40" s="26" t="str">
        <f>SmtRes!O11</f>
        <v>чел.-ч</v>
      </c>
      <c r="E40" s="26">
        <f>SmtRes!Y11</f>
        <v>4.760999999999999</v>
      </c>
      <c r="F40" s="26">
        <f>SmtRes!Y11*Source!I26</f>
        <v>7.755668999999998</v>
      </c>
      <c r="G40" s="29">
        <f>(SmtRes!AA11+SmtRes!AB11+SmtRes!AD11)</f>
        <v>125.72</v>
      </c>
      <c r="H40" s="30">
        <f>(SmtRes!AA11*SmtRes!Y11*Source!I26+SmtRes!AB11*SmtRes!Y11*Source!I26+SmtRes!AD11*SmtRes!Y11*Source!I26)</f>
        <v>975.0427066799998</v>
      </c>
      <c r="I40" s="30">
        <f>SmtRes!AD11*SmtRes!Y11*Source!I26</f>
        <v>975.0427066799998</v>
      </c>
      <c r="J40" s="26"/>
      <c r="K40" s="26"/>
      <c r="L40" s="26"/>
      <c r="M40" s="26"/>
      <c r="N40" s="27"/>
    </row>
    <row r="41" spans="1:14" ht="30">
      <c r="A41" s="37"/>
      <c r="B41" s="38" t="str">
        <f>SmtRes!I12</f>
        <v>113-0324</v>
      </c>
      <c r="C41" s="38" t="str">
        <f>SmtRes!K12</f>
        <v>Пленка полиэтиленовая толщиной 0,2-0,5 мм</v>
      </c>
      <c r="D41" s="39" t="str">
        <f>SmtRes!O12</f>
        <v>м2</v>
      </c>
      <c r="E41" s="39">
        <f>SmtRes!Y12</f>
        <v>122.4</v>
      </c>
      <c r="F41" s="39">
        <f>SmtRes!Y12*Source!I26</f>
        <v>199.3896</v>
      </c>
      <c r="G41" s="40">
        <f>(SmtRes!AA12+SmtRes!AB12+SmtRes!AD12)</f>
        <v>63.71</v>
      </c>
      <c r="H41" s="41">
        <f>(SmtRes!AA12*SmtRes!Y12*Source!I26+SmtRes!AB12*SmtRes!Y12*Source!I26+SmtRes!AD12*SmtRes!Y12*Source!I26)</f>
        <v>12703.111416</v>
      </c>
      <c r="I41" s="39"/>
      <c r="J41" s="39"/>
      <c r="K41" s="39"/>
      <c r="L41" s="41">
        <f>SmtRes!AA12*SmtRes!Y12*Source!I26</f>
        <v>12703.111416</v>
      </c>
      <c r="M41" s="39"/>
      <c r="N41" s="42"/>
    </row>
    <row r="42" spans="1:26" ht="54">
      <c r="A42" s="13">
        <v>4</v>
      </c>
      <c r="B42" s="13" t="str">
        <f>IF(Source!F27&lt;&gt;"",Source!F27,"")</f>
        <v>11-01-014-1</v>
      </c>
      <c r="C42" s="13" t="s">
        <v>426</v>
      </c>
      <c r="D42" s="14" t="str">
        <f>IF(Source!H27&lt;&gt;"",Source!H27,"")</f>
        <v>100 м2 пола</v>
      </c>
      <c r="E42" s="14" t="str">
        <f>IF(Source!J27=0," ",Source!J27)</f>
        <v> </v>
      </c>
      <c r="F42" s="15">
        <f>Source!I27</f>
        <v>1.629</v>
      </c>
      <c r="G42" s="16">
        <f>IF(Source!AB27=0," ",Source!AB27)</f>
        <v>63928.35</v>
      </c>
      <c r="H42" s="17">
        <f>IF(Source!O27=0," ",Source!O27)</f>
        <v>104139</v>
      </c>
      <c r="I42" s="17">
        <f>IF(Source!S27=0," ",Source!S27)</f>
        <v>9661</v>
      </c>
      <c r="J42" s="17">
        <f>IF(Source!Q27=0," ",Source!Q27)</f>
        <v>17722</v>
      </c>
      <c r="K42" s="17" t="str">
        <f>IF(Source!R27=0," ",Source!R27)</f>
        <v> </v>
      </c>
      <c r="L42" s="17">
        <f>IF(Source!P27=0," ",Source!P27)</f>
        <v>76756</v>
      </c>
      <c r="M42" s="18">
        <f>IF(Source!U27=0," ",ROUND(Source!U27,6))</f>
        <v>68.115006</v>
      </c>
      <c r="N42" s="18">
        <f>IF(Source!V27=0," ",ROUND(Source!V27,6))</f>
        <v>26.92737</v>
      </c>
      <c r="T42">
        <f>IF(Source!O27=0," ",Source!O27)</f>
        <v>104139</v>
      </c>
      <c r="U42">
        <v>76756</v>
      </c>
      <c r="V42">
        <f>IF(Source!S27=0," ",Source!S27)</f>
        <v>9661</v>
      </c>
      <c r="W42">
        <f>IF(Source!Q27=0," ",Source!Q27)</f>
        <v>17722</v>
      </c>
      <c r="X42" t="str">
        <f>IF(Source!R27=0," ",Source!R27)</f>
        <v> </v>
      </c>
      <c r="Y42">
        <f>IF(Source!U27=0," ",ROUND(Source!U27,6))</f>
        <v>68.115006</v>
      </c>
      <c r="Z42">
        <f>IF(Source!V27=0," ",ROUND(Source!V27,6))</f>
        <v>26.92737</v>
      </c>
    </row>
    <row r="43" spans="1:14" ht="15">
      <c r="A43" s="48"/>
      <c r="B43" s="48"/>
      <c r="C43" s="19" t="s">
        <v>168</v>
      </c>
      <c r="D43" s="20" t="str">
        <f>CONCATENATE(Source!AT27," %")</f>
        <v>94,1 %</v>
      </c>
      <c r="E43" s="20"/>
      <c r="F43" s="20"/>
      <c r="G43" s="20"/>
      <c r="H43" s="21">
        <f>Source!X27</f>
        <v>9091</v>
      </c>
      <c r="I43" s="48"/>
      <c r="J43" s="48"/>
      <c r="K43" s="48"/>
      <c r="L43" s="48"/>
      <c r="M43" s="48"/>
      <c r="N43" s="48"/>
    </row>
    <row r="44" spans="1:14" ht="15">
      <c r="A44" s="48"/>
      <c r="B44" s="48"/>
      <c r="C44" s="19" t="s">
        <v>170</v>
      </c>
      <c r="D44" s="20" t="str">
        <f>CONCATENATE(Source!AU27," %")</f>
        <v>51 %</v>
      </c>
      <c r="E44" s="20"/>
      <c r="F44" s="20"/>
      <c r="G44" s="20"/>
      <c r="H44" s="21">
        <f>Source!Y27</f>
        <v>4927</v>
      </c>
      <c r="I44" s="48"/>
      <c r="J44" s="48"/>
      <c r="K44" s="48"/>
      <c r="L44" s="48"/>
      <c r="M44" s="48"/>
      <c r="N44" s="48"/>
    </row>
    <row r="45" spans="1:14" ht="14.25">
      <c r="A45" s="49"/>
      <c r="B45" s="49"/>
      <c r="C45" s="22" t="s">
        <v>422</v>
      </c>
      <c r="D45" s="23"/>
      <c r="E45" s="23"/>
      <c r="F45" s="23"/>
      <c r="G45" s="23"/>
      <c r="H45" s="24">
        <f>SUMIF(Source!AA27:Source!AA27,"=26917020",Source!GM27:Source!GM27)</f>
        <v>118157</v>
      </c>
      <c r="I45" s="49"/>
      <c r="J45" s="49"/>
      <c r="K45" s="49"/>
      <c r="L45" s="49"/>
      <c r="M45" s="49"/>
      <c r="N45" s="49"/>
    </row>
    <row r="46" spans="1:14" ht="28.5">
      <c r="A46" s="25"/>
      <c r="B46" s="28" t="str">
        <f>SmtRes!I13</f>
        <v>1-1040</v>
      </c>
      <c r="C46" s="28" t="s">
        <v>427</v>
      </c>
      <c r="D46" s="26" t="str">
        <f>SmtRes!O13</f>
        <v>чел.-ч</v>
      </c>
      <c r="E46" s="26">
        <f>SmtRes!Y13</f>
        <v>41.814</v>
      </c>
      <c r="F46" s="26">
        <f>SmtRes!Y13*Source!I27</f>
        <v>68.115006</v>
      </c>
      <c r="G46" s="29">
        <f>(SmtRes!AA13+SmtRes!AB13+SmtRes!AD13)</f>
        <v>141.83</v>
      </c>
      <c r="H46" s="30">
        <f>(SmtRes!AA13*SmtRes!Y13*Source!I27+SmtRes!AB13*SmtRes!Y13*Source!I27+SmtRes!AD13*SmtRes!Y13*Source!I27)</f>
        <v>9660.751300980002</v>
      </c>
      <c r="I46" s="30">
        <f>SmtRes!AD13*SmtRes!Y13*Source!I27</f>
        <v>9660.751300980002</v>
      </c>
      <c r="J46" s="26"/>
      <c r="K46" s="26"/>
      <c r="L46" s="26"/>
      <c r="M46" s="26"/>
      <c r="N46" s="27"/>
    </row>
    <row r="47" spans="1:14" ht="28.5">
      <c r="A47" s="31"/>
      <c r="B47" s="34" t="str">
        <f>SmtRes!I14</f>
        <v>2</v>
      </c>
      <c r="C47" s="34" t="s">
        <v>428</v>
      </c>
      <c r="D47" s="32" t="str">
        <f>SmtRes!O14</f>
        <v>чел.час</v>
      </c>
      <c r="E47" s="32">
        <f>SmtRes!Y14</f>
        <v>16.529999999999998</v>
      </c>
      <c r="F47" s="32">
        <f>SmtRes!Y14*Source!I27</f>
        <v>26.927369999999996</v>
      </c>
      <c r="G47" s="35">
        <f>(SmtRes!AA14+SmtRes!AB14+SmtRes!AD14)</f>
        <v>0</v>
      </c>
      <c r="H47" s="36">
        <f>(SmtRes!AA14*SmtRes!Y14*Source!I27+SmtRes!AB14*SmtRes!Y14*Source!I27+SmtRes!AD14*SmtRes!Y14*Source!I27)</f>
        <v>0</v>
      </c>
      <c r="I47" s="32"/>
      <c r="J47" s="32"/>
      <c r="K47" s="36">
        <f>SmtRes!AC14*SmtRes!Y14*Source!I27</f>
        <v>0</v>
      </c>
      <c r="L47" s="32"/>
      <c r="M47" s="32"/>
      <c r="N47" s="33"/>
    </row>
    <row r="48" spans="1:14" ht="28.5">
      <c r="A48" s="31"/>
      <c r="B48" s="34" t="str">
        <f>SmtRes!I15</f>
        <v>391602</v>
      </c>
      <c r="C48" s="34" t="s">
        <v>429</v>
      </c>
      <c r="D48" s="32" t="str">
        <f>SmtRes!O15</f>
        <v>маш.-ч</v>
      </c>
      <c r="E48" s="32">
        <f>SmtRes!Y15</f>
        <v>16.529999999999998</v>
      </c>
      <c r="F48" s="32">
        <f>SmtRes!Y15*Source!I27</f>
        <v>26.927369999999996</v>
      </c>
      <c r="G48" s="35">
        <f>(SmtRes!AA15+SmtRes!AB15+SmtRes!AD15)</f>
        <v>658.15</v>
      </c>
      <c r="H48" s="36">
        <f>(SmtRes!AA15*SmtRes!Y15*Source!I27+SmtRes!AB15*SmtRes!Y15*Source!I27+SmtRes!AD15*SmtRes!Y15*Source!I27)</f>
        <v>17722.248565499995</v>
      </c>
      <c r="I48" s="32"/>
      <c r="J48" s="36">
        <f>SmtRes!AB15*SmtRes!Y15*Source!I27</f>
        <v>17722.248565499995</v>
      </c>
      <c r="K48" s="36">
        <f>SmtRes!AC15*SmtRes!Y15*Source!I27</f>
        <v>0</v>
      </c>
      <c r="L48" s="32"/>
      <c r="M48" s="32"/>
      <c r="N48" s="33"/>
    </row>
    <row r="49" spans="1:14" ht="15">
      <c r="A49" s="31"/>
      <c r="B49" s="34">
        <f>SmtRes!I16</f>
      </c>
      <c r="C49" s="34" t="str">
        <f>SmtRes!K16</f>
        <v>Труба профильная 50*50*3</v>
      </c>
      <c r="D49" s="32" t="str">
        <f>SmtRes!O16</f>
        <v>т</v>
      </c>
      <c r="E49" s="32">
        <f>SmtRes!Y16</f>
        <v>0.14</v>
      </c>
      <c r="F49" s="32">
        <f>SmtRes!Y16*Source!I27</f>
        <v>0.22806</v>
      </c>
      <c r="G49" s="35">
        <f>(SmtRes!AA16+SmtRes!AB16+SmtRes!AD16)</f>
        <v>34745.76</v>
      </c>
      <c r="H49" s="36">
        <f>(SmtRes!AA16*SmtRes!Y16*Source!I27+SmtRes!AB16*SmtRes!Y16*Source!I27+SmtRes!AD16*SmtRes!Y16*Source!I27)</f>
        <v>7924.118025600002</v>
      </c>
      <c r="I49" s="32"/>
      <c r="J49" s="32"/>
      <c r="K49" s="32"/>
      <c r="L49" s="36">
        <f>SmtRes!AA16*SmtRes!Y16*Source!I27</f>
        <v>7924.118025600002</v>
      </c>
      <c r="M49" s="32"/>
      <c r="N49" s="33"/>
    </row>
    <row r="50" spans="1:14" ht="45">
      <c r="A50" s="31"/>
      <c r="B50" s="34" t="str">
        <f>SmtRes!I17</f>
        <v>102-0114</v>
      </c>
      <c r="C50" s="34" t="str">
        <f>SmtRes!K17</f>
        <v>Доски обрезные хвойных пород длиной 2-3,75 м, шириной 75-150 мм, толщиной 25 мм, IV сорта</v>
      </c>
      <c r="D50" s="32" t="str">
        <f>SmtRes!O17</f>
        <v>м3</v>
      </c>
      <c r="E50" s="32">
        <f>SmtRes!Y17</f>
        <v>0.06</v>
      </c>
      <c r="F50" s="32">
        <f>SmtRes!Y17*Source!I27</f>
        <v>0.09774</v>
      </c>
      <c r="G50" s="35">
        <f>(SmtRes!AA17+SmtRes!AB17+SmtRes!AD17)</f>
        <v>5508.47</v>
      </c>
      <c r="H50" s="36">
        <f>(SmtRes!AA17*SmtRes!Y17*Source!I27+SmtRes!AB17*SmtRes!Y17*Source!I27+SmtRes!AD17*SmtRes!Y17*Source!I27)</f>
        <v>538.3978578</v>
      </c>
      <c r="I50" s="32"/>
      <c r="J50" s="32"/>
      <c r="K50" s="32"/>
      <c r="L50" s="36">
        <f>SmtRes!AA17*SmtRes!Y17*Source!I27</f>
        <v>538.3978578</v>
      </c>
      <c r="M50" s="32"/>
      <c r="N50" s="33"/>
    </row>
    <row r="51" spans="1:14" ht="15">
      <c r="A51" s="37"/>
      <c r="B51" s="38" t="str">
        <f>SmtRes!I18</f>
        <v>401-0046</v>
      </c>
      <c r="C51" s="38" t="str">
        <f>SmtRes!K18</f>
        <v>Бетон М 250</v>
      </c>
      <c r="D51" s="39" t="str">
        <f>SmtRes!O18</f>
        <v>м3</v>
      </c>
      <c r="E51" s="39">
        <f>SmtRes!Y18</f>
        <v>10.2</v>
      </c>
      <c r="F51" s="39">
        <f>SmtRes!Y18*Source!I27</f>
        <v>16.6158</v>
      </c>
      <c r="G51" s="40">
        <f>(SmtRes!AA18+SmtRes!AB18+SmtRes!AD18)</f>
        <v>4110.17</v>
      </c>
      <c r="H51" s="41">
        <f>(SmtRes!AA18*SmtRes!Y18*Source!I27+SmtRes!AB18*SmtRes!Y18*Source!I27+SmtRes!AD18*SmtRes!Y18*Source!I27)</f>
        <v>68293.762686</v>
      </c>
      <c r="I51" s="39"/>
      <c r="J51" s="39"/>
      <c r="K51" s="39"/>
      <c r="L51" s="41">
        <f>SmtRes!AA18*SmtRes!Y18*Source!I27</f>
        <v>68293.762686</v>
      </c>
      <c r="M51" s="39"/>
      <c r="N51" s="42"/>
    </row>
    <row r="52" spans="1:26" ht="71.25">
      <c r="A52" s="13">
        <v>5</v>
      </c>
      <c r="B52" s="13" t="str">
        <f>IF(Source!F28&lt;&gt;"",Source!F28,"")</f>
        <v>65-2-2</v>
      </c>
      <c r="C52" s="13" t="s">
        <v>430</v>
      </c>
      <c r="D52" s="14" t="str">
        <f>IF(Source!H28&lt;&gt;"",Source!H28,"")</f>
        <v>100 м трубопровода с фасонными частями</v>
      </c>
      <c r="E52" s="14" t="str">
        <f>IF(Source!J28=0," ",Source!J28)</f>
        <v> </v>
      </c>
      <c r="F52" s="15">
        <f>Source!I28</f>
        <v>0.06</v>
      </c>
      <c r="G52" s="16">
        <f>IF(Source!AB28=0," ",Source!AB28)</f>
        <v>10724.89</v>
      </c>
      <c r="H52" s="17">
        <f>IF(Source!O28=0," ",Source!O28)</f>
        <v>644</v>
      </c>
      <c r="I52" s="17">
        <f>IF(Source!S28=0," ",Source!S28)</f>
        <v>639</v>
      </c>
      <c r="J52" s="17">
        <f>IF(Source!Q28=0," ",Source!Q28)</f>
        <v>5</v>
      </c>
      <c r="K52" s="17" t="str">
        <f>IF(Source!R28=0," ",Source!R28)</f>
        <v> </v>
      </c>
      <c r="L52" s="17" t="str">
        <f>IF(Source!P28=0," ",Source!P28)</f>
        <v> </v>
      </c>
      <c r="M52" s="18">
        <f>IF(Source!U28=0," ",ROUND(Source!U28,6))</f>
        <v>5.118</v>
      </c>
      <c r="N52" s="18">
        <f>IF(Source!V28=0," ",ROUND(Source!V28,6))</f>
        <v>0.0192</v>
      </c>
      <c r="T52">
        <f>IF(Source!O28=0," ",Source!O28)</f>
        <v>644</v>
      </c>
      <c r="U52" t="s">
        <v>420</v>
      </c>
      <c r="V52">
        <f>IF(Source!S28=0," ",Source!S28)</f>
        <v>639</v>
      </c>
      <c r="W52">
        <f>IF(Source!Q28=0," ",Source!Q28)</f>
        <v>5</v>
      </c>
      <c r="X52" t="str">
        <f>IF(Source!R28=0," ",Source!R28)</f>
        <v> </v>
      </c>
      <c r="Y52">
        <f>IF(Source!U28=0," ",ROUND(Source!U28,6))</f>
        <v>5.118</v>
      </c>
      <c r="Z52">
        <f>IF(Source!V28=0," ",ROUND(Source!V28,6))</f>
        <v>0.0192</v>
      </c>
    </row>
    <row r="53" spans="1:14" ht="15">
      <c r="A53" s="48"/>
      <c r="B53" s="48"/>
      <c r="C53" s="19" t="s">
        <v>168</v>
      </c>
      <c r="D53" s="20" t="str">
        <f>CONCATENATE(Source!AT28," %")</f>
        <v>62,9 %</v>
      </c>
      <c r="E53" s="20"/>
      <c r="F53" s="20"/>
      <c r="G53" s="20"/>
      <c r="H53" s="21">
        <f>Source!X28</f>
        <v>402</v>
      </c>
      <c r="I53" s="48"/>
      <c r="J53" s="48"/>
      <c r="K53" s="48"/>
      <c r="L53" s="48"/>
      <c r="M53" s="48"/>
      <c r="N53" s="48"/>
    </row>
    <row r="54" spans="1:14" ht="15">
      <c r="A54" s="48"/>
      <c r="B54" s="48"/>
      <c r="C54" s="19" t="s">
        <v>170</v>
      </c>
      <c r="D54" s="20" t="str">
        <f>CONCATENATE(Source!AU28," %")</f>
        <v>40 %</v>
      </c>
      <c r="E54" s="20"/>
      <c r="F54" s="20"/>
      <c r="G54" s="20"/>
      <c r="H54" s="21">
        <f>Source!Y28</f>
        <v>256</v>
      </c>
      <c r="I54" s="48"/>
      <c r="J54" s="48"/>
      <c r="K54" s="48"/>
      <c r="L54" s="48"/>
      <c r="M54" s="48"/>
      <c r="N54" s="48"/>
    </row>
    <row r="55" spans="1:14" ht="14.25">
      <c r="A55" s="49"/>
      <c r="B55" s="49"/>
      <c r="C55" s="22" t="s">
        <v>422</v>
      </c>
      <c r="D55" s="23"/>
      <c r="E55" s="23"/>
      <c r="F55" s="23"/>
      <c r="G55" s="23"/>
      <c r="H55" s="24">
        <f>SUMIF(Source!AA28:Source!AA28,"=26917020",Source!GM28:Source!GM28)</f>
        <v>1302</v>
      </c>
      <c r="I55" s="49"/>
      <c r="J55" s="49"/>
      <c r="K55" s="49"/>
      <c r="L55" s="49"/>
      <c r="M55" s="49"/>
      <c r="N55" s="49"/>
    </row>
    <row r="56" spans="1:14" ht="30">
      <c r="A56" s="25"/>
      <c r="B56" s="28" t="str">
        <f>SmtRes!I19</f>
        <v>1-1029</v>
      </c>
      <c r="C56" s="28" t="str">
        <f>SmtRes!K19</f>
        <v>Рабочий строитель среднего разряда 2,9</v>
      </c>
      <c r="D56" s="26" t="str">
        <f>SmtRes!O19</f>
        <v>чел.-ч</v>
      </c>
      <c r="E56" s="26">
        <f>SmtRes!Y19</f>
        <v>85.3</v>
      </c>
      <c r="F56" s="26">
        <f>SmtRes!Y19*Source!I28</f>
        <v>5.117999999999999</v>
      </c>
      <c r="G56" s="29">
        <f>(SmtRes!AA19+SmtRes!AB19+SmtRes!AD19)</f>
        <v>124.76</v>
      </c>
      <c r="H56" s="30">
        <f>(SmtRes!AA19*SmtRes!Y19*Source!I28+SmtRes!AB19*SmtRes!Y19*Source!I28+SmtRes!AD19*SmtRes!Y19*Source!I28)</f>
        <v>638.52168</v>
      </c>
      <c r="I56" s="30">
        <f>SmtRes!AD19*SmtRes!Y19*Source!I28</f>
        <v>638.52168</v>
      </c>
      <c r="J56" s="26"/>
      <c r="K56" s="26"/>
      <c r="L56" s="26"/>
      <c r="M56" s="26"/>
      <c r="N56" s="27"/>
    </row>
    <row r="57" spans="1:14" ht="15">
      <c r="A57" s="31"/>
      <c r="B57" s="34" t="str">
        <f>SmtRes!I20</f>
        <v>2</v>
      </c>
      <c r="C57" s="34" t="str">
        <f>SmtRes!K20</f>
        <v>Затраты труда машинистов</v>
      </c>
      <c r="D57" s="32" t="str">
        <f>SmtRes!O20</f>
        <v>чел.час</v>
      </c>
      <c r="E57" s="32">
        <f>SmtRes!Y20</f>
        <v>0.32</v>
      </c>
      <c r="F57" s="32">
        <f>SmtRes!Y20*Source!I28</f>
        <v>0.0192</v>
      </c>
      <c r="G57" s="35">
        <f>(SmtRes!AA20+SmtRes!AB20+SmtRes!AD20)</f>
        <v>0</v>
      </c>
      <c r="H57" s="36">
        <f>(SmtRes!AA20*SmtRes!Y20*Source!I28+SmtRes!AB20*SmtRes!Y20*Source!I28+SmtRes!AD20*SmtRes!Y20*Source!I28)</f>
        <v>0</v>
      </c>
      <c r="I57" s="32"/>
      <c r="J57" s="32"/>
      <c r="K57" s="36">
        <f>SmtRes!AC20*SmtRes!Y20*Source!I28</f>
        <v>0</v>
      </c>
      <c r="L57" s="32"/>
      <c r="M57" s="32"/>
      <c r="N57" s="33"/>
    </row>
    <row r="58" spans="1:14" ht="45">
      <c r="A58" s="31"/>
      <c r="B58" s="34" t="str">
        <f>SmtRes!I21</f>
        <v>030954</v>
      </c>
      <c r="C58" s="34" t="str">
        <f>SmtRes!K21</f>
        <v>Подъемники грузоподъемностью до 500 кг одномачтовые, высота подъема 45 м</v>
      </c>
      <c r="D58" s="32" t="str">
        <f>SmtRes!O21</f>
        <v>маш.-ч</v>
      </c>
      <c r="E58" s="32">
        <f>SmtRes!Y21</f>
        <v>0.32</v>
      </c>
      <c r="F58" s="32">
        <f>SmtRes!Y21*Source!I28</f>
        <v>0.0192</v>
      </c>
      <c r="G58" s="35">
        <f>(SmtRes!AA21+SmtRes!AB21+SmtRes!AD21)</f>
        <v>258.94</v>
      </c>
      <c r="H58" s="36">
        <f>(SmtRes!AA21*SmtRes!Y21*Source!I28+SmtRes!AB21*SmtRes!Y21*Source!I28+SmtRes!AD21*SmtRes!Y21*Source!I28)</f>
        <v>4.971648</v>
      </c>
      <c r="I58" s="32"/>
      <c r="J58" s="36">
        <f>SmtRes!AB21*SmtRes!Y21*Source!I28</f>
        <v>4.971648</v>
      </c>
      <c r="K58" s="36">
        <f>SmtRes!AC21*SmtRes!Y21*Source!I28</f>
        <v>0</v>
      </c>
      <c r="L58" s="32"/>
      <c r="M58" s="32"/>
      <c r="N58" s="33"/>
    </row>
    <row r="59" spans="1:14" ht="30">
      <c r="A59" s="37"/>
      <c r="B59" s="38" t="str">
        <f>SmtRes!I22</f>
        <v>509-9899</v>
      </c>
      <c r="C59" s="38" t="str">
        <f>SmtRes!K22</f>
        <v>Строительный мусор и масса возвратных материалов</v>
      </c>
      <c r="D59" s="39" t="str">
        <f>SmtRes!O22</f>
        <v>т</v>
      </c>
      <c r="E59" s="39">
        <f>SmtRes!Y22</f>
        <v>1.34</v>
      </c>
      <c r="F59" s="39">
        <f>SmtRes!Y22*Source!I28</f>
        <v>0.0804</v>
      </c>
      <c r="G59" s="40">
        <f>(SmtRes!AA22+SmtRes!AB22+SmtRes!AD22)</f>
        <v>0</v>
      </c>
      <c r="H59" s="41">
        <f>(SmtRes!AA22*SmtRes!Y22*Source!I28+SmtRes!AB22*SmtRes!Y22*Source!I28+SmtRes!AD22*SmtRes!Y22*Source!I28)</f>
        <v>0</v>
      </c>
      <c r="I59" s="39"/>
      <c r="J59" s="39"/>
      <c r="K59" s="39"/>
      <c r="L59" s="41">
        <f>SmtRes!AA22*SmtRes!Y22*Source!I28</f>
        <v>0</v>
      </c>
      <c r="M59" s="39"/>
      <c r="N59" s="42"/>
    </row>
    <row r="60" spans="1:26" ht="68.25">
      <c r="A60" s="13">
        <v>6</v>
      </c>
      <c r="B60" s="13" t="str">
        <f>IF(Source!F29&lt;&gt;"",Source!F29,"")</f>
        <v>16-04-001-2</v>
      </c>
      <c r="C60" s="13" t="s">
        <v>431</v>
      </c>
      <c r="D60" s="14" t="str">
        <f>IF(Source!H29&lt;&gt;"",Source!H29,"")</f>
        <v>100 м трубопровода</v>
      </c>
      <c r="E60" s="14" t="str">
        <f>IF(Source!J29=0," ",Source!J29)</f>
        <v> </v>
      </c>
      <c r="F60" s="15">
        <f>Source!I29</f>
        <v>0.06</v>
      </c>
      <c r="G60" s="16">
        <f>IF(Source!AB29=0," ",Source!AB29)</f>
        <v>193539.24</v>
      </c>
      <c r="H60" s="17">
        <f>IF(Source!O29=0," ",Source!O29)</f>
        <v>11612</v>
      </c>
      <c r="I60" s="17">
        <f>IF(Source!S29=0," ",Source!S29)</f>
        <v>746</v>
      </c>
      <c r="J60" s="17">
        <f>IF(Source!Q29=0," ",Source!Q29)</f>
        <v>6</v>
      </c>
      <c r="K60" s="17" t="str">
        <f>IF(Source!R29=0," ",Source!R29)</f>
        <v> </v>
      </c>
      <c r="L60" s="17">
        <f>IF(Source!P29=0," ",Source!P29)</f>
        <v>10860</v>
      </c>
      <c r="M60" s="18">
        <f>IF(Source!U29=0," ",ROUND(Source!U29,6))</f>
        <v>5.10048</v>
      </c>
      <c r="N60" s="18">
        <f>IF(Source!V29=0," ",ROUND(Source!V29,6))</f>
        <v>0.0045</v>
      </c>
      <c r="T60">
        <f>IF(Source!O29=0," ",Source!O29)</f>
        <v>11612</v>
      </c>
      <c r="U60">
        <v>10860</v>
      </c>
      <c r="V60">
        <f>IF(Source!S29=0," ",Source!S29)</f>
        <v>746</v>
      </c>
      <c r="W60">
        <f>IF(Source!Q29=0," ",Source!Q29)</f>
        <v>6</v>
      </c>
      <c r="X60" t="str">
        <f>IF(Source!R29=0," ",Source!R29)</f>
        <v> </v>
      </c>
      <c r="Y60">
        <f>IF(Source!U29=0," ",ROUND(Source!U29,6))</f>
        <v>5.10048</v>
      </c>
      <c r="Z60">
        <f>IF(Source!V29=0," ",ROUND(Source!V29,6))</f>
        <v>0.0045</v>
      </c>
    </row>
    <row r="61" spans="1:14" ht="15">
      <c r="A61" s="48"/>
      <c r="B61" s="48"/>
      <c r="C61" s="19" t="s">
        <v>168</v>
      </c>
      <c r="D61" s="20" t="str">
        <f>CONCATENATE(Source!AT29," %")</f>
        <v>97,92 %</v>
      </c>
      <c r="E61" s="20"/>
      <c r="F61" s="20"/>
      <c r="G61" s="20"/>
      <c r="H61" s="21">
        <f>Source!X29</f>
        <v>730</v>
      </c>
      <c r="I61" s="48"/>
      <c r="J61" s="48"/>
      <c r="K61" s="48"/>
      <c r="L61" s="48"/>
      <c r="M61" s="48"/>
      <c r="N61" s="48"/>
    </row>
    <row r="62" spans="1:14" ht="15">
      <c r="A62" s="48"/>
      <c r="B62" s="48"/>
      <c r="C62" s="19" t="s">
        <v>170</v>
      </c>
      <c r="D62" s="20" t="str">
        <f>CONCATENATE(Source!AU29," %")</f>
        <v>56,44 %</v>
      </c>
      <c r="E62" s="20"/>
      <c r="F62" s="20"/>
      <c r="G62" s="20"/>
      <c r="H62" s="21">
        <f>Source!Y29</f>
        <v>421</v>
      </c>
      <c r="I62" s="48"/>
      <c r="J62" s="48"/>
      <c r="K62" s="48"/>
      <c r="L62" s="48"/>
      <c r="M62" s="48"/>
      <c r="N62" s="48"/>
    </row>
    <row r="63" spans="1:14" ht="14.25">
      <c r="A63" s="49"/>
      <c r="B63" s="49"/>
      <c r="C63" s="22" t="s">
        <v>422</v>
      </c>
      <c r="D63" s="23"/>
      <c r="E63" s="23"/>
      <c r="F63" s="23"/>
      <c r="G63" s="23"/>
      <c r="H63" s="24">
        <f>SUMIF(Source!AA29:Source!AA29,"=26917020",Source!GM29:Source!GM29)</f>
        <v>12763</v>
      </c>
      <c r="I63" s="49"/>
      <c r="J63" s="49"/>
      <c r="K63" s="49"/>
      <c r="L63" s="49"/>
      <c r="M63" s="49"/>
      <c r="N63" s="49"/>
    </row>
    <row r="64" spans="1:14" ht="43.5">
      <c r="A64" s="25"/>
      <c r="B64" s="28" t="str">
        <f>SmtRes!I23</f>
        <v>1-1042</v>
      </c>
      <c r="C64" s="28" t="s">
        <v>432</v>
      </c>
      <c r="D64" s="26" t="str">
        <f>SmtRes!O23</f>
        <v>чел.-ч</v>
      </c>
      <c r="E64" s="26">
        <f>SmtRes!Y23</f>
        <v>85.00799999999998</v>
      </c>
      <c r="F64" s="26">
        <f>SmtRes!Y23*Source!I29</f>
        <v>5.100479999999998</v>
      </c>
      <c r="G64" s="29">
        <f>(SmtRes!AA23+SmtRes!AB23+SmtRes!AD23)</f>
        <v>146.28</v>
      </c>
      <c r="H64" s="30">
        <f>(SmtRes!AA23*SmtRes!Y23*Source!I29+SmtRes!AB23*SmtRes!Y23*Source!I29+SmtRes!AD23*SmtRes!Y23*Source!I29)</f>
        <v>746.0982143999997</v>
      </c>
      <c r="I64" s="30">
        <f>SmtRes!AD23*SmtRes!Y23*Source!I29</f>
        <v>746.0982143999997</v>
      </c>
      <c r="J64" s="26"/>
      <c r="K64" s="26"/>
      <c r="L64" s="26"/>
      <c r="M64" s="26"/>
      <c r="N64" s="27"/>
    </row>
    <row r="65" spans="1:14" ht="28.5">
      <c r="A65" s="31"/>
      <c r="B65" s="34" t="str">
        <f>SmtRes!I24</f>
        <v>2</v>
      </c>
      <c r="C65" s="34" t="s">
        <v>428</v>
      </c>
      <c r="D65" s="32" t="str">
        <f>SmtRes!O24</f>
        <v>чел.час</v>
      </c>
      <c r="E65" s="32">
        <f>SmtRes!Y24</f>
        <v>0.075</v>
      </c>
      <c r="F65" s="32">
        <f>SmtRes!Y24*Source!I29</f>
        <v>0.0045</v>
      </c>
      <c r="G65" s="35">
        <f>(SmtRes!AA24+SmtRes!AB24+SmtRes!AD24)</f>
        <v>0</v>
      </c>
      <c r="H65" s="36">
        <f>(SmtRes!AA24*SmtRes!Y24*Source!I29+SmtRes!AB24*SmtRes!Y24*Source!I29+SmtRes!AD24*SmtRes!Y24*Source!I29)</f>
        <v>0</v>
      </c>
      <c r="I65" s="32"/>
      <c r="J65" s="32"/>
      <c r="K65" s="36">
        <f>SmtRes!AC24*SmtRes!Y24*Source!I29</f>
        <v>0</v>
      </c>
      <c r="L65" s="32"/>
      <c r="M65" s="32"/>
      <c r="N65" s="33"/>
    </row>
    <row r="66" spans="1:14" ht="58.5">
      <c r="A66" s="31"/>
      <c r="B66" s="34" t="str">
        <f>SmtRes!I25</f>
        <v>021141</v>
      </c>
      <c r="C66" s="34" t="s">
        <v>433</v>
      </c>
      <c r="D66" s="32" t="str">
        <f>SmtRes!O25</f>
        <v>маш.-ч</v>
      </c>
      <c r="E66" s="32">
        <f>SmtRes!Y25</f>
        <v>0.1265625</v>
      </c>
      <c r="F66" s="32">
        <f>SmtRes!Y25*Source!I29</f>
        <v>0.00759375</v>
      </c>
      <c r="G66" s="35">
        <f>(SmtRes!AA25+SmtRes!AB25+SmtRes!AD25)</f>
        <v>636.03</v>
      </c>
      <c r="H66" s="36">
        <f>(SmtRes!AA25*SmtRes!Y25*Source!I29+SmtRes!AB25*SmtRes!Y25*Source!I29+SmtRes!AD25*SmtRes!Y25*Source!I29)</f>
        <v>4.8298528124999995</v>
      </c>
      <c r="I66" s="32"/>
      <c r="J66" s="36">
        <f>SmtRes!AB25*SmtRes!Y25*Source!I29</f>
        <v>4.8298528124999995</v>
      </c>
      <c r="K66" s="36">
        <f>SmtRes!AC25*SmtRes!Y25*Source!I29</f>
        <v>0</v>
      </c>
      <c r="L66" s="32"/>
      <c r="M66" s="32"/>
      <c r="N66" s="33"/>
    </row>
    <row r="67" spans="1:14" ht="43.5">
      <c r="A67" s="31"/>
      <c r="B67" s="34" t="str">
        <f>SmtRes!I26</f>
        <v>400001</v>
      </c>
      <c r="C67" s="34" t="s">
        <v>434</v>
      </c>
      <c r="D67" s="32" t="str">
        <f>SmtRes!O26</f>
        <v>маш.-ч</v>
      </c>
      <c r="E67" s="32">
        <f>SmtRes!Y26</f>
        <v>0.03</v>
      </c>
      <c r="F67" s="32">
        <f>SmtRes!Y26*Source!I29</f>
        <v>0.0018</v>
      </c>
      <c r="G67" s="35">
        <f>(SmtRes!AA26+SmtRes!AB26+SmtRes!AD26)</f>
        <v>698.33</v>
      </c>
      <c r="H67" s="36">
        <f>(SmtRes!AA26*SmtRes!Y26*Source!I29+SmtRes!AB26*SmtRes!Y26*Source!I29+SmtRes!AD26*SmtRes!Y26*Source!I29)</f>
        <v>1.256994</v>
      </c>
      <c r="I67" s="32"/>
      <c r="J67" s="36">
        <f>SmtRes!AB26*SmtRes!Y26*Source!I29</f>
        <v>1.256994</v>
      </c>
      <c r="K67" s="36">
        <f>SmtRes!AC26*SmtRes!Y26*Source!I29</f>
        <v>0</v>
      </c>
      <c r="L67" s="32"/>
      <c r="M67" s="32"/>
      <c r="N67" s="33"/>
    </row>
    <row r="68" spans="1:14" ht="15">
      <c r="A68" s="31"/>
      <c r="B68" s="34">
        <f>SmtRes!I27</f>
      </c>
      <c r="C68" s="34" t="str">
        <f>SmtRes!K27</f>
        <v>Отвод ПЭ ф110 литой</v>
      </c>
      <c r="D68" s="32" t="str">
        <f>SmtRes!O27</f>
        <v>ШТ</v>
      </c>
      <c r="E68" s="32">
        <f>SmtRes!Y27</f>
        <v>66.66666666666667</v>
      </c>
      <c r="F68" s="32">
        <f>SmtRes!Y27*Source!I29</f>
        <v>4</v>
      </c>
      <c r="G68" s="35">
        <f>(SmtRes!AA27+SmtRes!AB27+SmtRes!AD27)</f>
        <v>762.71</v>
      </c>
      <c r="H68" s="36">
        <f>(SmtRes!AA27*SmtRes!Y27*Source!I29+SmtRes!AB27*SmtRes!Y27*Source!I29+SmtRes!AD27*SmtRes!Y27*Source!I29)</f>
        <v>3050.84</v>
      </c>
      <c r="I68" s="32"/>
      <c r="J68" s="32"/>
      <c r="K68" s="32"/>
      <c r="L68" s="36">
        <f>SmtRes!AA27*SmtRes!Y27*Source!I29</f>
        <v>3050.84</v>
      </c>
      <c r="M68" s="32"/>
      <c r="N68" s="33"/>
    </row>
    <row r="69" spans="1:14" ht="15">
      <c r="A69" s="31"/>
      <c r="B69" s="34">
        <f>SmtRes!I28</f>
      </c>
      <c r="C69" s="34" t="str">
        <f>SmtRes!K28</f>
        <v>Труба ПНД</v>
      </c>
      <c r="D69" s="32" t="str">
        <f>SmtRes!O28</f>
        <v>м</v>
      </c>
      <c r="E69" s="32">
        <f>SmtRes!Y28</f>
        <v>99.8</v>
      </c>
      <c r="F69" s="32">
        <f>SmtRes!Y28*Source!I29</f>
        <v>5.9879999999999995</v>
      </c>
      <c r="G69" s="35">
        <f>(SmtRes!AA28+SmtRes!AB28+SmtRes!AD28)</f>
        <v>1010</v>
      </c>
      <c r="H69" s="36">
        <f>(SmtRes!AA28*SmtRes!Y28*Source!I29+SmtRes!AB28*SmtRes!Y28*Source!I29+SmtRes!AD28*SmtRes!Y28*Source!I29)</f>
        <v>6047.88</v>
      </c>
      <c r="I69" s="32"/>
      <c r="J69" s="32"/>
      <c r="K69" s="32"/>
      <c r="L69" s="36">
        <f>SmtRes!AA28*SmtRes!Y28*Source!I29</f>
        <v>6047.88</v>
      </c>
      <c r="M69" s="32"/>
      <c r="N69" s="33"/>
    </row>
    <row r="70" spans="1:14" ht="15">
      <c r="A70" s="31"/>
      <c r="B70" s="34">
        <f>SmtRes!I29</f>
      </c>
      <c r="C70" s="34" t="str">
        <f>SmtRes!K29</f>
        <v>Фланец 100-16 атм</v>
      </c>
      <c r="D70" s="32" t="str">
        <f>SmtRes!O29</f>
        <v>ШТ</v>
      </c>
      <c r="E70" s="32">
        <f>SmtRes!Y29</f>
        <v>66.66666666666667</v>
      </c>
      <c r="F70" s="32">
        <f>SmtRes!Y29*Source!I29</f>
        <v>4</v>
      </c>
      <c r="G70" s="35">
        <f>(SmtRes!AA29+SmtRes!AB29+SmtRes!AD29)</f>
        <v>436.44</v>
      </c>
      <c r="H70" s="36">
        <f>(SmtRes!AA29*SmtRes!Y29*Source!I29+SmtRes!AB29*SmtRes!Y29*Source!I29+SmtRes!AD29*SmtRes!Y29*Source!I29)</f>
        <v>1745.7600000000002</v>
      </c>
      <c r="I70" s="32"/>
      <c r="J70" s="32"/>
      <c r="K70" s="32"/>
      <c r="L70" s="36">
        <f>SmtRes!AA29*SmtRes!Y29*Source!I29</f>
        <v>1745.7600000000002</v>
      </c>
      <c r="M70" s="32"/>
      <c r="N70" s="33"/>
    </row>
    <row r="71" spans="1:14" ht="45">
      <c r="A71" s="37"/>
      <c r="B71" s="38" t="str">
        <f>SmtRes!I30</f>
        <v>101-2576</v>
      </c>
      <c r="C71" s="38" t="str">
        <f>SmtRes!K30</f>
        <v>Болты с гайками и шайбами для санитарно-технических работ диаметром 16 мм</v>
      </c>
      <c r="D71" s="39" t="str">
        <f>SmtRes!O30</f>
        <v>т</v>
      </c>
      <c r="E71" s="39">
        <f>SmtRes!Y30</f>
        <v>0.00266</v>
      </c>
      <c r="F71" s="39">
        <f>SmtRes!Y30*Source!I29</f>
        <v>0.0001596</v>
      </c>
      <c r="G71" s="40">
        <f>(SmtRes!AA30+SmtRes!AB30+SmtRes!AD30)</f>
        <v>98305.08</v>
      </c>
      <c r="H71" s="41">
        <f>(SmtRes!AA30*SmtRes!Y30*Source!I29+SmtRes!AB30*SmtRes!Y30*Source!I29+SmtRes!AD30*SmtRes!Y30*Source!I29)</f>
        <v>15.689490768</v>
      </c>
      <c r="I71" s="39"/>
      <c r="J71" s="39"/>
      <c r="K71" s="39"/>
      <c r="L71" s="41">
        <f>SmtRes!AA30*SmtRes!Y30*Source!I29</f>
        <v>15.689490768</v>
      </c>
      <c r="M71" s="39"/>
      <c r="N71" s="42"/>
    </row>
    <row r="72" spans="1:26" ht="28.5">
      <c r="A72" s="13">
        <v>7</v>
      </c>
      <c r="B72" s="13" t="str">
        <f>IF(Source!F30&lt;&gt;"",Source!F30,"")</f>
        <v>65-6-2</v>
      </c>
      <c r="C72" s="13" t="s">
        <v>435</v>
      </c>
      <c r="D72" s="14" t="str">
        <f>IF(Source!H30&lt;&gt;"",Source!H30,"")</f>
        <v>100 приборов</v>
      </c>
      <c r="E72" s="14" t="str">
        <f>IF(Source!J30=0," ",Source!J30)</f>
        <v> </v>
      </c>
      <c r="F72" s="15">
        <f>Source!I30</f>
        <v>0.01</v>
      </c>
      <c r="G72" s="16">
        <f>IF(Source!AB30=0," ",Source!AB30)</f>
        <v>51838.25</v>
      </c>
      <c r="H72" s="17">
        <f>IF(Source!O30=0," ",Source!O30)</f>
        <v>518</v>
      </c>
      <c r="I72" s="17">
        <f>IF(Source!S30=0," ",Source!S30)</f>
        <v>313</v>
      </c>
      <c r="J72" s="17">
        <f>IF(Source!Q30=0," ",Source!Q30)</f>
        <v>5</v>
      </c>
      <c r="K72" s="17" t="str">
        <f>IF(Source!R30=0," ",Source!R30)</f>
        <v> </v>
      </c>
      <c r="L72" s="17">
        <f>IF(Source!P30=0," ",Source!P30)</f>
        <v>200</v>
      </c>
      <c r="M72" s="18">
        <f>IF(Source!U30=0," ",ROUND(Source!U30,6))</f>
        <v>2.34</v>
      </c>
      <c r="N72" s="18">
        <f>IF(Source!V30=0," ",ROUND(Source!V30,6))</f>
        <v>0.0056</v>
      </c>
      <c r="T72">
        <f>IF(Source!O30=0," ",Source!O30)</f>
        <v>518</v>
      </c>
      <c r="U72">
        <v>200</v>
      </c>
      <c r="V72">
        <f>IF(Source!S30=0," ",Source!S30)</f>
        <v>313</v>
      </c>
      <c r="W72">
        <f>IF(Source!Q30=0," ",Source!Q30)</f>
        <v>5</v>
      </c>
      <c r="X72" t="str">
        <f>IF(Source!R30=0," ",Source!R30)</f>
        <v> </v>
      </c>
      <c r="Y72">
        <f>IF(Source!U30=0," ",ROUND(Source!U30,6))</f>
        <v>2.34</v>
      </c>
      <c r="Z72">
        <f>IF(Source!V30=0," ",ROUND(Source!V30,6))</f>
        <v>0.0056</v>
      </c>
    </row>
    <row r="73" spans="1:14" ht="15">
      <c r="A73" s="48"/>
      <c r="B73" s="48"/>
      <c r="C73" s="19" t="s">
        <v>168</v>
      </c>
      <c r="D73" s="20" t="str">
        <f>CONCATENATE(Source!AT30," %")</f>
        <v>87,55 %</v>
      </c>
      <c r="E73" s="20"/>
      <c r="F73" s="20"/>
      <c r="G73" s="20"/>
      <c r="H73" s="21">
        <f>Source!X30</f>
        <v>274</v>
      </c>
      <c r="I73" s="48"/>
      <c r="J73" s="48"/>
      <c r="K73" s="48"/>
      <c r="L73" s="48"/>
      <c r="M73" s="48"/>
      <c r="N73" s="48"/>
    </row>
    <row r="74" spans="1:14" ht="15">
      <c r="A74" s="48"/>
      <c r="B74" s="48"/>
      <c r="C74" s="19" t="s">
        <v>170</v>
      </c>
      <c r="D74" s="20" t="str">
        <f>CONCATENATE(Source!AU30," %")</f>
        <v>48 %</v>
      </c>
      <c r="E74" s="20"/>
      <c r="F74" s="20"/>
      <c r="G74" s="20"/>
      <c r="H74" s="21">
        <f>Source!Y30</f>
        <v>150</v>
      </c>
      <c r="I74" s="48"/>
      <c r="J74" s="48"/>
      <c r="K74" s="48"/>
      <c r="L74" s="48"/>
      <c r="M74" s="48"/>
      <c r="N74" s="48"/>
    </row>
    <row r="75" spans="1:14" ht="14.25">
      <c r="A75" s="49"/>
      <c r="B75" s="49"/>
      <c r="C75" s="22" t="s">
        <v>422</v>
      </c>
      <c r="D75" s="23"/>
      <c r="E75" s="23"/>
      <c r="F75" s="23"/>
      <c r="G75" s="23"/>
      <c r="H75" s="24">
        <f>SUMIF(Source!AA30:Source!AA30,"=26917020",Source!GM30:Source!GM30)</f>
        <v>942</v>
      </c>
      <c r="I75" s="49"/>
      <c r="J75" s="49"/>
      <c r="K75" s="49"/>
      <c r="L75" s="49"/>
      <c r="M75" s="49"/>
      <c r="N75" s="49"/>
    </row>
    <row r="76" spans="1:14" ht="30">
      <c r="A76" s="25"/>
      <c r="B76" s="28" t="str">
        <f>SmtRes!I31</f>
        <v>1-1035</v>
      </c>
      <c r="C76" s="28" t="str">
        <f>SmtRes!K31</f>
        <v>Рабочий строитель среднего разряда 3,5</v>
      </c>
      <c r="D76" s="26" t="str">
        <f>SmtRes!O31</f>
        <v>чел.-ч</v>
      </c>
      <c r="E76" s="26">
        <f>SmtRes!Y31</f>
        <v>234</v>
      </c>
      <c r="F76" s="26">
        <f>SmtRes!Y31*Source!I30</f>
        <v>2.34</v>
      </c>
      <c r="G76" s="29">
        <f>(SmtRes!AA31+SmtRes!AB31+SmtRes!AD31)</f>
        <v>133.77</v>
      </c>
      <c r="H76" s="30">
        <f>(SmtRes!AA31*SmtRes!Y31*Source!I30+SmtRes!AB31*SmtRes!Y31*Source!I30+SmtRes!AD31*SmtRes!Y31*Source!I30)</f>
        <v>313.02180000000004</v>
      </c>
      <c r="I76" s="30">
        <f>SmtRes!AD31*SmtRes!Y31*Source!I30</f>
        <v>313.02180000000004</v>
      </c>
      <c r="J76" s="26"/>
      <c r="K76" s="26"/>
      <c r="L76" s="26"/>
      <c r="M76" s="26"/>
      <c r="N76" s="27"/>
    </row>
    <row r="77" spans="1:14" ht="15">
      <c r="A77" s="31"/>
      <c r="B77" s="34" t="str">
        <f>SmtRes!I32</f>
        <v>2</v>
      </c>
      <c r="C77" s="34" t="str">
        <f>SmtRes!K32</f>
        <v>Затраты труда машинистов</v>
      </c>
      <c r="D77" s="32" t="str">
        <f>SmtRes!O32</f>
        <v>чел.час</v>
      </c>
      <c r="E77" s="32">
        <f>SmtRes!Y32</f>
        <v>0.56</v>
      </c>
      <c r="F77" s="32">
        <f>SmtRes!Y32*Source!I30</f>
        <v>0.005600000000000001</v>
      </c>
      <c r="G77" s="35">
        <f>(SmtRes!AA32+SmtRes!AB32+SmtRes!AD32)</f>
        <v>0</v>
      </c>
      <c r="H77" s="36">
        <f>(SmtRes!AA32*SmtRes!Y32*Source!I30+SmtRes!AB32*SmtRes!Y32*Source!I30+SmtRes!AD32*SmtRes!Y32*Source!I30)</f>
        <v>0</v>
      </c>
      <c r="I77" s="32"/>
      <c r="J77" s="32"/>
      <c r="K77" s="36">
        <f>SmtRes!AC32*SmtRes!Y32*Source!I30</f>
        <v>0</v>
      </c>
      <c r="L77" s="32"/>
      <c r="M77" s="32"/>
      <c r="N77" s="33"/>
    </row>
    <row r="78" spans="1:14" ht="45">
      <c r="A78" s="31"/>
      <c r="B78" s="34" t="str">
        <f>SmtRes!I33</f>
        <v>030954</v>
      </c>
      <c r="C78" s="34" t="str">
        <f>SmtRes!K33</f>
        <v>Подъемники грузоподъемностью до 500 кг одномачтовые, высота подъема 45 м</v>
      </c>
      <c r="D78" s="32" t="str">
        <f>SmtRes!O33</f>
        <v>маш.-ч</v>
      </c>
      <c r="E78" s="32">
        <f>SmtRes!Y33</f>
        <v>0.56</v>
      </c>
      <c r="F78" s="32">
        <f>SmtRes!Y33*Source!I30</f>
        <v>0.005600000000000001</v>
      </c>
      <c r="G78" s="35">
        <f>(SmtRes!AA33+SmtRes!AB33+SmtRes!AD33)</f>
        <v>258.94</v>
      </c>
      <c r="H78" s="36">
        <f>(SmtRes!AA33*SmtRes!Y33*Source!I30+SmtRes!AB33*SmtRes!Y33*Source!I30+SmtRes!AD33*SmtRes!Y33*Source!I30)</f>
        <v>1.4500640000000002</v>
      </c>
      <c r="I78" s="32"/>
      <c r="J78" s="36">
        <f>SmtRes!AB33*SmtRes!Y33*Source!I30</f>
        <v>1.4500640000000002</v>
      </c>
      <c r="K78" s="36">
        <f>SmtRes!AC33*SmtRes!Y33*Source!I30</f>
        <v>0</v>
      </c>
      <c r="L78" s="32"/>
      <c r="M78" s="32"/>
      <c r="N78" s="33"/>
    </row>
    <row r="79" spans="1:14" ht="30">
      <c r="A79" s="31"/>
      <c r="B79" s="34" t="str">
        <f>SmtRes!I34</f>
        <v>400001</v>
      </c>
      <c r="C79" s="34" t="str">
        <f>SmtRes!K34</f>
        <v>Автомобили бортовые, грузоподъемность до 5 т</v>
      </c>
      <c r="D79" s="32" t="str">
        <f>SmtRes!O34</f>
        <v>маш.-ч</v>
      </c>
      <c r="E79" s="32">
        <f>SmtRes!Y34</f>
        <v>0.56</v>
      </c>
      <c r="F79" s="32">
        <f>SmtRes!Y34*Source!I30</f>
        <v>0.005600000000000001</v>
      </c>
      <c r="G79" s="35">
        <f>(SmtRes!AA34+SmtRes!AB34+SmtRes!AD34)</f>
        <v>698.33</v>
      </c>
      <c r="H79" s="36">
        <f>(SmtRes!AA34*SmtRes!Y34*Source!I30+SmtRes!AB34*SmtRes!Y34*Source!I30+SmtRes!AD34*SmtRes!Y34*Source!I30)</f>
        <v>3.9106480000000006</v>
      </c>
      <c r="I79" s="32"/>
      <c r="J79" s="36">
        <f>SmtRes!AB34*SmtRes!Y34*Source!I30</f>
        <v>3.9106480000000006</v>
      </c>
      <c r="K79" s="36">
        <f>SmtRes!AC34*SmtRes!Y34*Source!I30</f>
        <v>0</v>
      </c>
      <c r="L79" s="32"/>
      <c r="M79" s="32"/>
      <c r="N79" s="33"/>
    </row>
    <row r="80" spans="1:14" ht="15">
      <c r="A80" s="37"/>
      <c r="B80" s="38" t="str">
        <f>SmtRes!I35</f>
        <v>301-9400</v>
      </c>
      <c r="C80" s="38" t="str">
        <f>SmtRes!K35</f>
        <v>Приборы санитарно-технические</v>
      </c>
      <c r="D80" s="39" t="str">
        <f>SmtRes!O35</f>
        <v>компл.</v>
      </c>
      <c r="E80" s="39">
        <f>SmtRes!Y35</f>
        <v>100</v>
      </c>
      <c r="F80" s="39">
        <f>SmtRes!Y35*Source!I30</f>
        <v>1</v>
      </c>
      <c r="G80" s="40">
        <f>(SmtRes!AA35+SmtRes!AB35+SmtRes!AD35)</f>
        <v>200</v>
      </c>
      <c r="H80" s="41">
        <f>(SmtRes!AA35*SmtRes!Y35*Source!I30+SmtRes!AB35*SmtRes!Y35*Source!I30+SmtRes!AD35*SmtRes!Y35*Source!I30)</f>
        <v>200</v>
      </c>
      <c r="I80" s="39"/>
      <c r="J80" s="39"/>
      <c r="K80" s="39"/>
      <c r="L80" s="41">
        <f>SmtRes!AA35*SmtRes!Y35*Source!I30</f>
        <v>200</v>
      </c>
      <c r="M80" s="39"/>
      <c r="N80" s="42"/>
    </row>
    <row r="81" spans="1:26" ht="71.25">
      <c r="A81" s="13">
        <v>8</v>
      </c>
      <c r="B81" s="13" t="str">
        <f>IF(Source!F31&lt;&gt;"",Source!F31,"")</f>
        <v>15-07-003-02</v>
      </c>
      <c r="C81" s="13" t="s">
        <v>436</v>
      </c>
      <c r="D81" s="14" t="str">
        <f>IF(Source!H31&lt;&gt;"",Source!H31,"")</f>
        <v>100 м2 обрабатываемой поверхности</v>
      </c>
      <c r="E81" s="14" t="str">
        <f>IF(Source!J31=0," ",Source!J31)</f>
        <v> </v>
      </c>
      <c r="F81" s="15">
        <f>Source!I31</f>
        <v>1.7263</v>
      </c>
      <c r="G81" s="16">
        <f>IF(Source!AB31=0," ",Source!AB31)</f>
        <v>1619.53</v>
      </c>
      <c r="H81" s="17">
        <f>IF(Source!O31=0," ",Source!O31)</f>
        <v>2796</v>
      </c>
      <c r="I81" s="17">
        <f>IF(Source!S31=0," ",Source!S31)</f>
        <v>1190</v>
      </c>
      <c r="J81" s="17">
        <f>IF(Source!Q31=0," ",Source!Q31)</f>
        <v>289</v>
      </c>
      <c r="K81" s="17" t="str">
        <f>IF(Source!R31=0," ",Source!R31)</f>
        <v> </v>
      </c>
      <c r="L81" s="17">
        <f>IF(Source!P31=0," ",Source!P31)</f>
        <v>1317</v>
      </c>
      <c r="M81" s="18">
        <f>IF(Source!U31=0," ",ROUND(Source!U31,6))</f>
        <v>8.790665</v>
      </c>
      <c r="N81" s="18">
        <f>IF(Source!V31=0," ",ROUND(Source!V31,6))</f>
        <v>0.025895</v>
      </c>
      <c r="T81">
        <f>IF(Source!O31=0," ",Source!O31)</f>
        <v>2796</v>
      </c>
      <c r="U81">
        <v>1317</v>
      </c>
      <c r="V81">
        <f>IF(Source!S31=0," ",Source!S31)</f>
        <v>1190</v>
      </c>
      <c r="W81">
        <f>IF(Source!Q31=0," ",Source!Q31)</f>
        <v>289</v>
      </c>
      <c r="X81" t="str">
        <f>IF(Source!R31=0," ",Source!R31)</f>
        <v> </v>
      </c>
      <c r="Y81">
        <f>IF(Source!U31=0," ",ROUND(Source!U31,6))</f>
        <v>8.790665</v>
      </c>
      <c r="Z81">
        <f>IF(Source!V31=0," ",ROUND(Source!V31,6))</f>
        <v>0.025895</v>
      </c>
    </row>
    <row r="82" spans="1:14" ht="15">
      <c r="A82" s="48"/>
      <c r="B82" s="48"/>
      <c r="C82" s="19" t="s">
        <v>168</v>
      </c>
      <c r="D82" s="20" t="str">
        <f>CONCATENATE(Source!AT31," %")</f>
        <v>80,33 %</v>
      </c>
      <c r="E82" s="20"/>
      <c r="F82" s="20"/>
      <c r="G82" s="20"/>
      <c r="H82" s="21">
        <f>Source!X31</f>
        <v>956</v>
      </c>
      <c r="I82" s="48"/>
      <c r="J82" s="48"/>
      <c r="K82" s="48"/>
      <c r="L82" s="48"/>
      <c r="M82" s="48"/>
      <c r="N82" s="48"/>
    </row>
    <row r="83" spans="1:14" ht="15">
      <c r="A83" s="48"/>
      <c r="B83" s="48"/>
      <c r="C83" s="19" t="s">
        <v>170</v>
      </c>
      <c r="D83" s="20" t="str">
        <f>CONCATENATE(Source!AU31," %")</f>
        <v>37,4 %</v>
      </c>
      <c r="E83" s="20"/>
      <c r="F83" s="20"/>
      <c r="G83" s="20"/>
      <c r="H83" s="21">
        <f>Source!Y31</f>
        <v>445</v>
      </c>
      <c r="I83" s="48"/>
      <c r="J83" s="48"/>
      <c r="K83" s="48"/>
      <c r="L83" s="48"/>
      <c r="M83" s="48"/>
      <c r="N83" s="48"/>
    </row>
    <row r="84" spans="1:14" ht="14.25">
      <c r="A84" s="49"/>
      <c r="B84" s="49"/>
      <c r="C84" s="22" t="s">
        <v>422</v>
      </c>
      <c r="D84" s="23"/>
      <c r="E84" s="23"/>
      <c r="F84" s="23"/>
      <c r="G84" s="23"/>
      <c r="H84" s="24">
        <f>SUMIF(Source!AA31:Source!AA31,"=26917020",Source!GM31:Source!GM31)</f>
        <v>4197</v>
      </c>
      <c r="I84" s="49"/>
      <c r="J84" s="49"/>
      <c r="K84" s="49"/>
      <c r="L84" s="49"/>
      <c r="M84" s="49"/>
      <c r="N84" s="49"/>
    </row>
    <row r="85" spans="1:14" ht="43.5">
      <c r="A85" s="25"/>
      <c r="B85" s="28" t="str">
        <f>SmtRes!I36</f>
        <v>1-1036</v>
      </c>
      <c r="C85" s="28" t="s">
        <v>437</v>
      </c>
      <c r="D85" s="26" t="str">
        <f>SmtRes!O36</f>
        <v>чел.-ч</v>
      </c>
      <c r="E85" s="26">
        <f>SmtRes!Y36</f>
        <v>5.092199999999999</v>
      </c>
      <c r="F85" s="26">
        <f>SmtRes!Y36*Source!I31</f>
        <v>8.790664859999998</v>
      </c>
      <c r="G85" s="29">
        <f>(SmtRes!AA36+SmtRes!AB36+SmtRes!AD36)</f>
        <v>135.36</v>
      </c>
      <c r="H85" s="30">
        <f>(SmtRes!AA36*SmtRes!Y36*Source!I31+SmtRes!AB36*SmtRes!Y36*Source!I31+SmtRes!AD36*SmtRes!Y36*Source!I31)</f>
        <v>1189.9043954495999</v>
      </c>
      <c r="I85" s="30">
        <f>SmtRes!AD36*SmtRes!Y36*Source!I31</f>
        <v>1189.9043954495999</v>
      </c>
      <c r="J85" s="26"/>
      <c r="K85" s="26"/>
      <c r="L85" s="26"/>
      <c r="M85" s="26"/>
      <c r="N85" s="27"/>
    </row>
    <row r="86" spans="1:14" ht="28.5">
      <c r="A86" s="31"/>
      <c r="B86" s="34" t="str">
        <f>SmtRes!I37</f>
        <v>2</v>
      </c>
      <c r="C86" s="34" t="s">
        <v>438</v>
      </c>
      <c r="D86" s="32" t="str">
        <f>SmtRes!O37</f>
        <v>чел.час</v>
      </c>
      <c r="E86" s="32">
        <f>SmtRes!Y37</f>
        <v>0.015</v>
      </c>
      <c r="F86" s="32">
        <f>SmtRes!Y37*Source!I31</f>
        <v>0.025894499999999997</v>
      </c>
      <c r="G86" s="35">
        <f>(SmtRes!AA37+SmtRes!AB37+SmtRes!AD37)</f>
        <v>0</v>
      </c>
      <c r="H86" s="36">
        <f>(SmtRes!AA37*SmtRes!Y37*Source!I31+SmtRes!AB37*SmtRes!Y37*Source!I31+SmtRes!AD37*SmtRes!Y37*Source!I31)</f>
        <v>0</v>
      </c>
      <c r="I86" s="32"/>
      <c r="J86" s="32"/>
      <c r="K86" s="36">
        <f>SmtRes!AC37*SmtRes!Y37*Source!I31</f>
        <v>0</v>
      </c>
      <c r="L86" s="32"/>
      <c r="M86" s="32"/>
      <c r="N86" s="33"/>
    </row>
    <row r="87" spans="1:14" ht="58.5">
      <c r="A87" s="31"/>
      <c r="B87" s="34" t="str">
        <f>SmtRes!I38</f>
        <v>030952</v>
      </c>
      <c r="C87" s="34" t="s">
        <v>439</v>
      </c>
      <c r="D87" s="32" t="str">
        <f>SmtRes!O38</f>
        <v>маш.-ч</v>
      </c>
      <c r="E87" s="32">
        <f>SmtRes!Y38</f>
        <v>0.015</v>
      </c>
      <c r="F87" s="32">
        <f>SmtRes!Y38*Source!I31</f>
        <v>0.025894499999999997</v>
      </c>
      <c r="G87" s="35">
        <f>(SmtRes!AA38+SmtRes!AB38+SmtRes!AD38)</f>
        <v>225.93</v>
      </c>
      <c r="H87" s="36">
        <f>(SmtRes!AA38*SmtRes!Y38*Source!I31+SmtRes!AB38*SmtRes!Y38*Source!I31+SmtRes!AD38*SmtRes!Y38*Source!I31)</f>
        <v>5.850344385</v>
      </c>
      <c r="I87" s="32"/>
      <c r="J87" s="36">
        <f>SmtRes!AB38*SmtRes!Y38*Source!I31</f>
        <v>5.850344385</v>
      </c>
      <c r="K87" s="36">
        <f>SmtRes!AC38*SmtRes!Y38*Source!I31</f>
        <v>0</v>
      </c>
      <c r="L87" s="32"/>
      <c r="M87" s="32"/>
      <c r="N87" s="33"/>
    </row>
    <row r="88" spans="1:14" ht="58.5">
      <c r="A88" s="31"/>
      <c r="B88" s="34" t="str">
        <f>SmtRes!I39</f>
        <v>340101</v>
      </c>
      <c r="C88" s="34" t="s">
        <v>440</v>
      </c>
      <c r="D88" s="32" t="str">
        <f>SmtRes!O39</f>
        <v>маш.-ч</v>
      </c>
      <c r="E88" s="32">
        <f>SmtRes!Y39</f>
        <v>4.2299999999999995</v>
      </c>
      <c r="F88" s="32">
        <f>SmtRes!Y39*Source!I31</f>
        <v>7.302248999999999</v>
      </c>
      <c r="G88" s="35">
        <f>(SmtRes!AA39+SmtRes!AB39+SmtRes!AD39)</f>
        <v>28.84</v>
      </c>
      <c r="H88" s="36">
        <f>(SmtRes!AA39*SmtRes!Y39*Source!I31+SmtRes!AB39*SmtRes!Y39*Source!I31+SmtRes!AD39*SmtRes!Y39*Source!I31)</f>
        <v>210.59686115999997</v>
      </c>
      <c r="I88" s="32"/>
      <c r="J88" s="36">
        <f>SmtRes!AB39*SmtRes!Y39*Source!I31</f>
        <v>210.59686115999997</v>
      </c>
      <c r="K88" s="36">
        <f>SmtRes!AC39*SmtRes!Y39*Source!I31</f>
        <v>0</v>
      </c>
      <c r="L88" s="32"/>
      <c r="M88" s="32"/>
      <c r="N88" s="33"/>
    </row>
    <row r="89" spans="1:14" ht="43.5">
      <c r="A89" s="31"/>
      <c r="B89" s="34" t="str">
        <f>SmtRes!I40</f>
        <v>400001</v>
      </c>
      <c r="C89" s="34" t="s">
        <v>441</v>
      </c>
      <c r="D89" s="32" t="str">
        <f>SmtRes!O40</f>
        <v>маш.-ч.</v>
      </c>
      <c r="E89" s="32">
        <f>SmtRes!Y40</f>
        <v>0.06</v>
      </c>
      <c r="F89" s="32">
        <f>SmtRes!Y40*Source!I31</f>
        <v>0.10357799999999999</v>
      </c>
      <c r="G89" s="35">
        <f>(SmtRes!AA40+SmtRes!AB40+SmtRes!AD40)</f>
        <v>698.33</v>
      </c>
      <c r="H89" s="36">
        <f>(SmtRes!AA40*SmtRes!Y40*Source!I31+SmtRes!AB40*SmtRes!Y40*Source!I31+SmtRes!AD40*SmtRes!Y40*Source!I31)</f>
        <v>72.33162474</v>
      </c>
      <c r="I89" s="32"/>
      <c r="J89" s="36">
        <f>SmtRes!AB40*SmtRes!Y40*Source!I31</f>
        <v>72.33162474</v>
      </c>
      <c r="K89" s="36">
        <f>SmtRes!AC40*SmtRes!Y40*Source!I31</f>
        <v>0</v>
      </c>
      <c r="L89" s="32"/>
      <c r="M89" s="32"/>
      <c r="N89" s="33"/>
    </row>
    <row r="90" spans="1:14" ht="15">
      <c r="A90" s="31"/>
      <c r="B90" s="34" t="str">
        <f>SmtRes!I41</f>
        <v>101-1757</v>
      </c>
      <c r="C90" s="34" t="str">
        <f>SmtRes!K41</f>
        <v>Ветошь</v>
      </c>
      <c r="D90" s="32" t="str">
        <f>SmtRes!O41</f>
        <v>кг</v>
      </c>
      <c r="E90" s="32">
        <f>SmtRes!Y41</f>
        <v>1</v>
      </c>
      <c r="F90" s="32">
        <f>SmtRes!Y41*Source!I31</f>
        <v>1.7263</v>
      </c>
      <c r="G90" s="35">
        <f>(SmtRes!AA41+SmtRes!AB41+SmtRes!AD41)</f>
        <v>52.82</v>
      </c>
      <c r="H90" s="36">
        <f>(SmtRes!AA41*SmtRes!Y41*Source!I31+SmtRes!AB41*SmtRes!Y41*Source!I31+SmtRes!AD41*SmtRes!Y41*Source!I31)</f>
        <v>91.183166</v>
      </c>
      <c r="I90" s="32"/>
      <c r="J90" s="32"/>
      <c r="K90" s="32"/>
      <c r="L90" s="36">
        <f>SmtRes!AA41*SmtRes!Y41*Source!I31</f>
        <v>91.183166</v>
      </c>
      <c r="M90" s="32"/>
      <c r="N90" s="33"/>
    </row>
    <row r="91" spans="1:14" ht="15">
      <c r="A91" s="37"/>
      <c r="B91" s="38" t="str">
        <f>SmtRes!I42</f>
        <v>101-4163</v>
      </c>
      <c r="C91" s="38" t="str">
        <f>SmtRes!K42</f>
        <v>Грунтовка акриловая НОРТЕКС-ГРУНТ</v>
      </c>
      <c r="D91" s="39" t="str">
        <f>SmtRes!O42</f>
        <v>кг</v>
      </c>
      <c r="E91" s="39">
        <f>SmtRes!Y42</f>
        <v>13.8</v>
      </c>
      <c r="F91" s="39">
        <f>SmtRes!Y42*Source!I31</f>
        <v>23.82294</v>
      </c>
      <c r="G91" s="40">
        <f>(SmtRes!AA42+SmtRes!AB42+SmtRes!AD42)</f>
        <v>51.46</v>
      </c>
      <c r="H91" s="41">
        <f>(SmtRes!AA42*SmtRes!Y42*Source!I31+SmtRes!AB42*SmtRes!Y42*Source!I31+SmtRes!AD42*SmtRes!Y42*Source!I31)</f>
        <v>1225.9284924</v>
      </c>
      <c r="I91" s="39"/>
      <c r="J91" s="39"/>
      <c r="K91" s="39"/>
      <c r="L91" s="41">
        <f>SmtRes!AA42*SmtRes!Y42*Source!I31</f>
        <v>1225.9284924</v>
      </c>
      <c r="M91" s="39"/>
      <c r="N91" s="42"/>
    </row>
    <row r="92" spans="1:26" ht="82.5">
      <c r="A92" s="13">
        <v>9</v>
      </c>
      <c r="B92" s="13" t="str">
        <f>IF(Source!F32&lt;&gt;"",Source!F32,"")</f>
        <v>13-05-002-2</v>
      </c>
      <c r="C92" s="13" t="s">
        <v>442</v>
      </c>
      <c r="D92" s="14" t="str">
        <f>IF(Source!H32&lt;&gt;"",Source!H32,"")</f>
        <v>1 м2 оклеиваемой поверхности</v>
      </c>
      <c r="E92" s="14" t="str">
        <f>IF(Source!J32=0," ",Source!J32)</f>
        <v> </v>
      </c>
      <c r="F92" s="15">
        <f>Source!I32</f>
        <v>172.63</v>
      </c>
      <c r="G92" s="16">
        <f>IF(Source!AB32=0," ",Source!AB32)</f>
        <v>2916.82</v>
      </c>
      <c r="H92" s="17">
        <f>IF(Source!O32=0," ",Source!O32)</f>
        <v>503531</v>
      </c>
      <c r="I92" s="17">
        <f>IF(Source!S32=0," ",Source!S32)</f>
        <v>180656</v>
      </c>
      <c r="J92" s="17">
        <f>IF(Source!Q32=0," ",Source!Q32)</f>
        <v>3100</v>
      </c>
      <c r="K92" s="17" t="str">
        <f>IF(Source!R32=0," ",Source!R32)</f>
        <v> </v>
      </c>
      <c r="L92" s="17">
        <f>IF(Source!P32=0," ",Source!P32)</f>
        <v>319775</v>
      </c>
      <c r="M92" s="18">
        <f>IF(Source!U32=0," ",ROUND(Source!U32,6))</f>
        <v>1217.352234</v>
      </c>
      <c r="N92" s="18">
        <f>IF(Source!V32=0," ",ROUND(Source!V32,6))</f>
        <v>2.58945</v>
      </c>
      <c r="T92">
        <f>IF(Source!O32=0," ",Source!O32)</f>
        <v>503531</v>
      </c>
      <c r="U92">
        <v>319775</v>
      </c>
      <c r="V92">
        <f>IF(Source!S32=0," ",Source!S32)</f>
        <v>180656</v>
      </c>
      <c r="W92">
        <f>IF(Source!Q32=0," ",Source!Q32)</f>
        <v>3100</v>
      </c>
      <c r="X92" t="str">
        <f>IF(Source!R32=0," ",Source!R32)</f>
        <v> </v>
      </c>
      <c r="Y92">
        <f>IF(Source!U32=0," ",ROUND(Source!U32,6))</f>
        <v>1217.352234</v>
      </c>
      <c r="Z92">
        <f>IF(Source!V32=0," ",ROUND(Source!V32,6))</f>
        <v>2.58945</v>
      </c>
    </row>
    <row r="93" spans="1:14" ht="15">
      <c r="A93" s="48"/>
      <c r="B93" s="48"/>
      <c r="C93" s="19" t="s">
        <v>168</v>
      </c>
      <c r="D93" s="20" t="str">
        <f>CONCATENATE(Source!AT32," %")</f>
        <v>68,85 %</v>
      </c>
      <c r="E93" s="20"/>
      <c r="F93" s="20"/>
      <c r="G93" s="20"/>
      <c r="H93" s="21">
        <f>Source!X32</f>
        <v>124382</v>
      </c>
      <c r="I93" s="48"/>
      <c r="J93" s="48"/>
      <c r="K93" s="48"/>
      <c r="L93" s="48"/>
      <c r="M93" s="48"/>
      <c r="N93" s="48"/>
    </row>
    <row r="94" spans="1:14" ht="15">
      <c r="A94" s="48"/>
      <c r="B94" s="48"/>
      <c r="C94" s="19" t="s">
        <v>170</v>
      </c>
      <c r="D94" s="20" t="str">
        <f>CONCATENATE(Source!AU32," %")</f>
        <v>47,6 %</v>
      </c>
      <c r="E94" s="20"/>
      <c r="F94" s="20"/>
      <c r="G94" s="20"/>
      <c r="H94" s="21">
        <f>Source!Y32</f>
        <v>85992</v>
      </c>
      <c r="I94" s="48"/>
      <c r="J94" s="48"/>
      <c r="K94" s="48"/>
      <c r="L94" s="48"/>
      <c r="M94" s="48"/>
      <c r="N94" s="48"/>
    </row>
    <row r="95" spans="1:14" ht="14.25">
      <c r="A95" s="49"/>
      <c r="B95" s="49"/>
      <c r="C95" s="22" t="s">
        <v>422</v>
      </c>
      <c r="D95" s="23"/>
      <c r="E95" s="23"/>
      <c r="F95" s="23"/>
      <c r="G95" s="23"/>
      <c r="H95" s="24">
        <f>SUMIF(Source!AA32:Source!AA32,"=26917020",Source!GM32:Source!GM32)</f>
        <v>713905</v>
      </c>
      <c r="I95" s="49"/>
      <c r="J95" s="49"/>
      <c r="K95" s="49"/>
      <c r="L95" s="49"/>
      <c r="M95" s="49"/>
      <c r="N95" s="49"/>
    </row>
    <row r="96" spans="1:14" ht="43.5">
      <c r="A96" s="25"/>
      <c r="B96" s="28" t="str">
        <f>SmtRes!I43</f>
        <v>1-1043</v>
      </c>
      <c r="C96" s="28" t="s">
        <v>443</v>
      </c>
      <c r="D96" s="26" t="str">
        <f>SmtRes!O43</f>
        <v>чел.-ч</v>
      </c>
      <c r="E96" s="26">
        <f>SmtRes!Y43</f>
        <v>7.0518</v>
      </c>
      <c r="F96" s="26">
        <f>SmtRes!Y43*Source!I32</f>
        <v>1217.352234</v>
      </c>
      <c r="G96" s="29">
        <f>(SmtRes!AA43+SmtRes!AB43+SmtRes!AD43)</f>
        <v>148.4</v>
      </c>
      <c r="H96" s="30">
        <f>(SmtRes!AA43*SmtRes!Y43*Source!I32+SmtRes!AB43*SmtRes!Y43*Source!I32+SmtRes!AD43*SmtRes!Y43*Source!I32)</f>
        <v>180655.07152559998</v>
      </c>
      <c r="I96" s="30">
        <f>SmtRes!AD43*SmtRes!Y43*Source!I32</f>
        <v>180655.07152559998</v>
      </c>
      <c r="J96" s="26"/>
      <c r="K96" s="26"/>
      <c r="L96" s="26"/>
      <c r="M96" s="26"/>
      <c r="N96" s="27"/>
    </row>
    <row r="97" spans="1:14" ht="28.5">
      <c r="A97" s="31"/>
      <c r="B97" s="34" t="str">
        <f>SmtRes!I44</f>
        <v>2</v>
      </c>
      <c r="C97" s="34" t="s">
        <v>428</v>
      </c>
      <c r="D97" s="32" t="str">
        <f>SmtRes!O44</f>
        <v>чел.час</v>
      </c>
      <c r="E97" s="32">
        <f>SmtRes!Y44</f>
        <v>0.015</v>
      </c>
      <c r="F97" s="32">
        <f>SmtRes!Y44*Source!I32</f>
        <v>2.58945</v>
      </c>
      <c r="G97" s="35">
        <f>(SmtRes!AA44+SmtRes!AB44+SmtRes!AD44)</f>
        <v>0</v>
      </c>
      <c r="H97" s="36">
        <f>(SmtRes!AA44*SmtRes!Y44*Source!I32+SmtRes!AB44*SmtRes!Y44*Source!I32+SmtRes!AD44*SmtRes!Y44*Source!I32)</f>
        <v>0</v>
      </c>
      <c r="I97" s="32"/>
      <c r="J97" s="32"/>
      <c r="K97" s="36">
        <f>SmtRes!AC44*SmtRes!Y44*Source!I32</f>
        <v>0</v>
      </c>
      <c r="L97" s="32"/>
      <c r="M97" s="32"/>
      <c r="N97" s="33"/>
    </row>
    <row r="98" spans="1:14" ht="28.5">
      <c r="A98" s="31"/>
      <c r="B98" s="34" t="str">
        <f>SmtRes!I45</f>
        <v>030101</v>
      </c>
      <c r="C98" s="34" t="s">
        <v>444</v>
      </c>
      <c r="D98" s="32" t="str">
        <f>SmtRes!O45</f>
        <v>маш.-ч</v>
      </c>
      <c r="E98" s="32">
        <f>SmtRes!Y45</f>
        <v>0.015</v>
      </c>
      <c r="F98" s="32">
        <f>SmtRes!Y45*Source!I32</f>
        <v>2.58945</v>
      </c>
      <c r="G98" s="35">
        <f>(SmtRes!AA45+SmtRes!AB45+SmtRes!AD45)</f>
        <v>492.75</v>
      </c>
      <c r="H98" s="36">
        <f>(SmtRes!AA45*SmtRes!Y45*Source!I32+SmtRes!AB45*SmtRes!Y45*Source!I32+SmtRes!AD45*SmtRes!Y45*Source!I32)</f>
        <v>1275.9514874999998</v>
      </c>
      <c r="I98" s="32"/>
      <c r="J98" s="36">
        <f>SmtRes!AB45*SmtRes!Y45*Source!I32</f>
        <v>1275.9514874999998</v>
      </c>
      <c r="K98" s="36">
        <f>SmtRes!AC45*SmtRes!Y45*Source!I32</f>
        <v>0</v>
      </c>
      <c r="L98" s="32"/>
      <c r="M98" s="32"/>
      <c r="N98" s="33"/>
    </row>
    <row r="99" spans="1:14" ht="43.5">
      <c r="A99" s="31"/>
      <c r="B99" s="34" t="str">
        <f>SmtRes!I46</f>
        <v>030401</v>
      </c>
      <c r="C99" s="34" t="s">
        <v>445</v>
      </c>
      <c r="D99" s="32" t="str">
        <f>SmtRes!O46</f>
        <v>маш.-ч</v>
      </c>
      <c r="E99" s="32">
        <f>SmtRes!Y46</f>
        <v>0.015</v>
      </c>
      <c r="F99" s="32">
        <f>SmtRes!Y46*Source!I32</f>
        <v>2.58945</v>
      </c>
      <c r="G99" s="35">
        <f>(SmtRes!AA46+SmtRes!AB46+SmtRes!AD46)</f>
        <v>6.58</v>
      </c>
      <c r="H99" s="36">
        <f>(SmtRes!AA46*SmtRes!Y46*Source!I32+SmtRes!AB46*SmtRes!Y46*Source!I32+SmtRes!AD46*SmtRes!Y46*Source!I32)</f>
        <v>17.038581</v>
      </c>
      <c r="I99" s="32"/>
      <c r="J99" s="36">
        <f>SmtRes!AB46*SmtRes!Y46*Source!I32</f>
        <v>17.038581</v>
      </c>
      <c r="K99" s="36">
        <f>SmtRes!AC46*SmtRes!Y46*Source!I32</f>
        <v>0</v>
      </c>
      <c r="L99" s="32"/>
      <c r="M99" s="32"/>
      <c r="N99" s="33"/>
    </row>
    <row r="100" spans="1:14" ht="43.5">
      <c r="A100" s="31"/>
      <c r="B100" s="34" t="str">
        <f>SmtRes!I47</f>
        <v>400001</v>
      </c>
      <c r="C100" s="34" t="s">
        <v>434</v>
      </c>
      <c r="D100" s="32" t="str">
        <f>SmtRes!O47</f>
        <v>маш.-ч</v>
      </c>
      <c r="E100" s="32">
        <f>SmtRes!Y47</f>
        <v>0.015</v>
      </c>
      <c r="F100" s="32">
        <f>SmtRes!Y47*Source!I32</f>
        <v>2.58945</v>
      </c>
      <c r="G100" s="35">
        <f>(SmtRes!AA47+SmtRes!AB47+SmtRes!AD47)</f>
        <v>698.33</v>
      </c>
      <c r="H100" s="36">
        <f>(SmtRes!AA47*SmtRes!Y47*Source!I32+SmtRes!AB47*SmtRes!Y47*Source!I32+SmtRes!AD47*SmtRes!Y47*Source!I32)</f>
        <v>1808.2906185</v>
      </c>
      <c r="I100" s="32"/>
      <c r="J100" s="36">
        <f>SmtRes!AB47*SmtRes!Y47*Source!I32</f>
        <v>1808.2906185</v>
      </c>
      <c r="K100" s="36">
        <f>SmtRes!AC47*SmtRes!Y47*Source!I32</f>
        <v>0</v>
      </c>
      <c r="L100" s="32"/>
      <c r="M100" s="32"/>
      <c r="N100" s="33"/>
    </row>
    <row r="101" spans="1:14" ht="15">
      <c r="A101" s="31"/>
      <c r="B101" s="34" t="str">
        <f>SmtRes!I48</f>
        <v>101-0069</v>
      </c>
      <c r="C101" s="34" t="str">
        <f>SmtRes!K48</f>
        <v>Бензин авиационный Б-70</v>
      </c>
      <c r="D101" s="32" t="str">
        <f>SmtRes!O48</f>
        <v>т</v>
      </c>
      <c r="E101" s="32">
        <f>SmtRes!Y48</f>
        <v>0.00044</v>
      </c>
      <c r="F101" s="32">
        <f>SmtRes!Y48*Source!I32</f>
        <v>0.0759572</v>
      </c>
      <c r="G101" s="35">
        <f>(SmtRes!AA48+SmtRes!AB48+SmtRes!AD48)</f>
        <v>39874.56</v>
      </c>
      <c r="H101" s="36">
        <f>(SmtRes!AA48*SmtRes!Y48*Source!I32+SmtRes!AB48*SmtRes!Y48*Source!I32+SmtRes!AD48*SmtRes!Y48*Source!I32)</f>
        <v>3028.759928832</v>
      </c>
      <c r="I101" s="32"/>
      <c r="J101" s="32"/>
      <c r="K101" s="32"/>
      <c r="L101" s="36">
        <f>SmtRes!AA48*SmtRes!Y48*Source!I32</f>
        <v>3028.759928832</v>
      </c>
      <c r="M101" s="32"/>
      <c r="N101" s="33"/>
    </row>
    <row r="102" spans="1:14" ht="15">
      <c r="A102" s="31"/>
      <c r="B102" s="34" t="str">
        <f>SmtRes!I49</f>
        <v>101-0329</v>
      </c>
      <c r="C102" s="34" t="str">
        <f>SmtRes!K49</f>
        <v>Клей 88-СА</v>
      </c>
      <c r="D102" s="32" t="str">
        <f>SmtRes!O49</f>
        <v>кг</v>
      </c>
      <c r="E102" s="32">
        <f>SmtRes!Y49</f>
        <v>1.6</v>
      </c>
      <c r="F102" s="32">
        <f>SmtRes!Y49*Source!I32</f>
        <v>276.208</v>
      </c>
      <c r="G102" s="35">
        <f>(SmtRes!AA49+SmtRes!AB49+SmtRes!AD49)</f>
        <v>247.12</v>
      </c>
      <c r="H102" s="36">
        <f>(SmtRes!AA49*SmtRes!Y49*Source!I32+SmtRes!AB49*SmtRes!Y49*Source!I32+SmtRes!AD49*SmtRes!Y49*Source!I32)</f>
        <v>68256.52096000001</v>
      </c>
      <c r="I102" s="32"/>
      <c r="J102" s="32"/>
      <c r="K102" s="32"/>
      <c r="L102" s="36">
        <f>SmtRes!AA49*SmtRes!Y49*Source!I32</f>
        <v>68256.52096000001</v>
      </c>
      <c r="M102" s="32"/>
      <c r="N102" s="33"/>
    </row>
    <row r="103" spans="1:14" ht="15">
      <c r="A103" s="31"/>
      <c r="B103" s="34" t="str">
        <f>SmtRes!I50</f>
        <v>113-0264</v>
      </c>
      <c r="C103" s="34" t="str">
        <f>SmtRes!K50</f>
        <v>Эфир этиловый технический</v>
      </c>
      <c r="D103" s="32" t="str">
        <f>SmtRes!O50</f>
        <v>т</v>
      </c>
      <c r="E103" s="32">
        <f>SmtRes!Y50</f>
        <v>0.00028</v>
      </c>
      <c r="F103" s="32">
        <f>SmtRes!Y50*Source!I32</f>
        <v>0.048336399999999995</v>
      </c>
      <c r="G103" s="35">
        <f>(SmtRes!AA50+SmtRes!AB50+SmtRes!AD50)</f>
        <v>81420</v>
      </c>
      <c r="H103" s="36">
        <f>(SmtRes!AA50*SmtRes!Y50*Source!I32+SmtRes!AB50*SmtRes!Y50*Source!I32+SmtRes!AD50*SmtRes!Y50*Source!I32)</f>
        <v>3935.5496879999996</v>
      </c>
      <c r="I103" s="32"/>
      <c r="J103" s="32"/>
      <c r="K103" s="32"/>
      <c r="L103" s="36">
        <f>SmtRes!AA50*SmtRes!Y50*Source!I32</f>
        <v>3935.5496879999996</v>
      </c>
      <c r="M103" s="32"/>
      <c r="N103" s="33"/>
    </row>
    <row r="104" spans="1:14" ht="15">
      <c r="A104" s="37"/>
      <c r="B104" s="38" t="str">
        <f>SmtRes!I51</f>
        <v>113-0360</v>
      </c>
      <c r="C104" s="38" t="str">
        <f>SmtRes!K51</f>
        <v>Пластины полиизобутиленовые ПСГ</v>
      </c>
      <c r="D104" s="39" t="str">
        <f>SmtRes!O51</f>
        <v>т</v>
      </c>
      <c r="E104" s="39">
        <f>SmtRes!Y51</f>
        <v>0.00773</v>
      </c>
      <c r="F104" s="39">
        <f>SmtRes!Y51*Source!I32</f>
        <v>1.3344299</v>
      </c>
      <c r="G104" s="40">
        <f>(SmtRes!AA51+SmtRes!AB51+SmtRes!AD51)</f>
        <v>183264</v>
      </c>
      <c r="H104" s="41">
        <f>(SmtRes!AA51*SmtRes!Y51*Source!I32+SmtRes!AB51*SmtRes!Y51*Source!I32+SmtRes!AD51*SmtRes!Y51*Source!I32)</f>
        <v>244552.96119359997</v>
      </c>
      <c r="I104" s="39"/>
      <c r="J104" s="39"/>
      <c r="K104" s="39"/>
      <c r="L104" s="41">
        <f>SmtRes!AA51*SmtRes!Y51*Source!I32</f>
        <v>244552.96119359997</v>
      </c>
      <c r="M104" s="39"/>
      <c r="N104" s="42"/>
    </row>
    <row r="105" spans="1:26" ht="111">
      <c r="A105" s="13">
        <v>10</v>
      </c>
      <c r="B105" s="13" t="str">
        <f>IF(Source!F33&lt;&gt;"",Source!F33,"")</f>
        <v>13-01-005-1</v>
      </c>
      <c r="C105" s="13" t="s">
        <v>446</v>
      </c>
      <c r="D105" s="14" t="str">
        <f>IF(Source!H33&lt;&gt;"",Source!H33,"")</f>
        <v>1 м2 площади футеровки</v>
      </c>
      <c r="E105" s="14" t="str">
        <f>IF(Source!J33=0," ",Source!J33)</f>
        <v> </v>
      </c>
      <c r="F105" s="15">
        <f>Source!I33</f>
        <v>172.63</v>
      </c>
      <c r="G105" s="16">
        <f>IF(Source!AB33=0," ",Source!AB33)</f>
        <v>3420.98</v>
      </c>
      <c r="H105" s="17">
        <f>IF(Source!O33=0," ",Source!O33)</f>
        <v>590563</v>
      </c>
      <c r="I105" s="17">
        <f>IF(Source!S33=0," ",Source!S33)</f>
        <v>141206</v>
      </c>
      <c r="J105" s="17">
        <f>IF(Source!Q33=0," ",Source!Q33)</f>
        <v>18975</v>
      </c>
      <c r="K105" s="17" t="str">
        <f>IF(Source!R33=0," ",Source!R33)</f>
        <v> </v>
      </c>
      <c r="L105" s="17">
        <f>IF(Source!P33=0," ",Source!P33)</f>
        <v>430382</v>
      </c>
      <c r="M105" s="18">
        <f>IF(Source!U33=0," ",ROUND(Source!U33,6))</f>
        <v>912.418602</v>
      </c>
      <c r="N105" s="18">
        <f>IF(Source!V33=0," ",ROUND(Source!V33,6))</f>
        <v>36.2523</v>
      </c>
      <c r="T105">
        <f>IF(Source!O33=0," ",Source!O33)</f>
        <v>590563</v>
      </c>
      <c r="U105">
        <v>430382</v>
      </c>
      <c r="V105">
        <f>IF(Source!S33=0," ",Source!S33)</f>
        <v>141206</v>
      </c>
      <c r="W105">
        <f>IF(Source!Q33=0," ",Source!Q33)</f>
        <v>18975</v>
      </c>
      <c r="X105" t="str">
        <f>IF(Source!R33=0," ",Source!R33)</f>
        <v> </v>
      </c>
      <c r="Y105">
        <f>IF(Source!U33=0," ",ROUND(Source!U33,6))</f>
        <v>912.418602</v>
      </c>
      <c r="Z105">
        <f>IF(Source!V33=0," ",ROUND(Source!V33,6))</f>
        <v>36.2523</v>
      </c>
    </row>
    <row r="106" spans="1:14" ht="15">
      <c r="A106" s="48"/>
      <c r="B106" s="48"/>
      <c r="C106" s="19" t="s">
        <v>168</v>
      </c>
      <c r="D106" s="20" t="str">
        <f>CONCATENATE(Source!AT33," %")</f>
        <v>68,85 %</v>
      </c>
      <c r="E106" s="20"/>
      <c r="F106" s="20"/>
      <c r="G106" s="20"/>
      <c r="H106" s="21">
        <f>Source!X33</f>
        <v>97220</v>
      </c>
      <c r="I106" s="48"/>
      <c r="J106" s="48"/>
      <c r="K106" s="48"/>
      <c r="L106" s="48"/>
      <c r="M106" s="48"/>
      <c r="N106" s="48"/>
    </row>
    <row r="107" spans="1:14" ht="15">
      <c r="A107" s="48"/>
      <c r="B107" s="48"/>
      <c r="C107" s="19" t="s">
        <v>170</v>
      </c>
      <c r="D107" s="20" t="str">
        <f>CONCATENATE(Source!AU33," %")</f>
        <v>47,6 %</v>
      </c>
      <c r="E107" s="20"/>
      <c r="F107" s="20"/>
      <c r="G107" s="20"/>
      <c r="H107" s="21">
        <f>Source!Y33</f>
        <v>67214</v>
      </c>
      <c r="I107" s="48"/>
      <c r="J107" s="48"/>
      <c r="K107" s="48"/>
      <c r="L107" s="48"/>
      <c r="M107" s="48"/>
      <c r="N107" s="48"/>
    </row>
    <row r="108" spans="1:14" ht="14.25">
      <c r="A108" s="49"/>
      <c r="B108" s="49"/>
      <c r="C108" s="22" t="s">
        <v>422</v>
      </c>
      <c r="D108" s="23"/>
      <c r="E108" s="23"/>
      <c r="F108" s="23"/>
      <c r="G108" s="23"/>
      <c r="H108" s="24">
        <f>SUMIF(Source!AA33:Source!AA33,"=26917020",Source!GM33:Source!GM33)</f>
        <v>754997</v>
      </c>
      <c r="I108" s="49"/>
      <c r="J108" s="49"/>
      <c r="K108" s="49"/>
      <c r="L108" s="49"/>
      <c r="M108" s="49"/>
      <c r="N108" s="49"/>
    </row>
    <row r="109" spans="1:14" ht="43.5">
      <c r="A109" s="25"/>
      <c r="B109" s="28" t="str">
        <f>SmtRes!I52</f>
        <v>1-1046</v>
      </c>
      <c r="C109" s="28" t="s">
        <v>447</v>
      </c>
      <c r="D109" s="26" t="str">
        <f>SmtRes!O52</f>
        <v>чел.-ч</v>
      </c>
      <c r="E109" s="26">
        <f>SmtRes!Y52</f>
        <v>5.285399999999999</v>
      </c>
      <c r="F109" s="26">
        <f>SmtRes!Y52*Source!I33</f>
        <v>912.4186019999999</v>
      </c>
      <c r="G109" s="29">
        <f>(SmtRes!AA52+SmtRes!AB52+SmtRes!AD52)</f>
        <v>154.76</v>
      </c>
      <c r="H109" s="30">
        <f>(SmtRes!AA52*SmtRes!Y52*Source!I33+SmtRes!AB52*SmtRes!Y52*Source!I33+SmtRes!AD52*SmtRes!Y52*Source!I33)</f>
        <v>141205.90284551997</v>
      </c>
      <c r="I109" s="30">
        <f>SmtRes!AD52*SmtRes!Y52*Source!I33</f>
        <v>141205.90284551997</v>
      </c>
      <c r="J109" s="26"/>
      <c r="K109" s="26"/>
      <c r="L109" s="26"/>
      <c r="M109" s="26"/>
      <c r="N109" s="27"/>
    </row>
    <row r="110" spans="1:14" ht="28.5">
      <c r="A110" s="31"/>
      <c r="B110" s="34" t="str">
        <f>SmtRes!I53</f>
        <v>2</v>
      </c>
      <c r="C110" s="34" t="s">
        <v>428</v>
      </c>
      <c r="D110" s="32" t="str">
        <f>SmtRes!O53</f>
        <v>чел.час</v>
      </c>
      <c r="E110" s="32">
        <f>SmtRes!Y53</f>
        <v>0.21000000000000002</v>
      </c>
      <c r="F110" s="32">
        <f>SmtRes!Y53*Source!I33</f>
        <v>36.252300000000005</v>
      </c>
      <c r="G110" s="35">
        <f>(SmtRes!AA53+SmtRes!AB53+SmtRes!AD53)</f>
        <v>0</v>
      </c>
      <c r="H110" s="36">
        <f>(SmtRes!AA53*SmtRes!Y53*Source!I33+SmtRes!AB53*SmtRes!Y53*Source!I33+SmtRes!AD53*SmtRes!Y53*Source!I33)</f>
        <v>0</v>
      </c>
      <c r="I110" s="32"/>
      <c r="J110" s="32"/>
      <c r="K110" s="36">
        <f>SmtRes!AC53*SmtRes!Y53*Source!I33</f>
        <v>0</v>
      </c>
      <c r="L110" s="32"/>
      <c r="M110" s="32"/>
      <c r="N110" s="33"/>
    </row>
    <row r="111" spans="1:14" ht="28.5">
      <c r="A111" s="31"/>
      <c r="B111" s="34" t="str">
        <f>SmtRes!I54</f>
        <v>030101</v>
      </c>
      <c r="C111" s="34" t="s">
        <v>444</v>
      </c>
      <c r="D111" s="32" t="str">
        <f>SmtRes!O54</f>
        <v>маш.-ч</v>
      </c>
      <c r="E111" s="32">
        <f>SmtRes!Y54</f>
        <v>0.015</v>
      </c>
      <c r="F111" s="32">
        <f>SmtRes!Y54*Source!I33</f>
        <v>2.58945</v>
      </c>
      <c r="G111" s="35">
        <f>(SmtRes!AA54+SmtRes!AB54+SmtRes!AD54)</f>
        <v>492.75</v>
      </c>
      <c r="H111" s="36">
        <f>(SmtRes!AA54*SmtRes!Y54*Source!I33+SmtRes!AB54*SmtRes!Y54*Source!I33+SmtRes!AD54*SmtRes!Y54*Source!I33)</f>
        <v>1275.9514874999998</v>
      </c>
      <c r="I111" s="32"/>
      <c r="J111" s="36">
        <f>SmtRes!AB54*SmtRes!Y54*Source!I33</f>
        <v>1275.9514874999998</v>
      </c>
      <c r="K111" s="36">
        <f>SmtRes!AC54*SmtRes!Y54*Source!I33</f>
        <v>0</v>
      </c>
      <c r="L111" s="32"/>
      <c r="M111" s="32"/>
      <c r="N111" s="33"/>
    </row>
    <row r="112" spans="1:14" ht="43.5">
      <c r="A112" s="31"/>
      <c r="B112" s="34" t="str">
        <f>SmtRes!I55</f>
        <v>030401</v>
      </c>
      <c r="C112" s="34" t="s">
        <v>445</v>
      </c>
      <c r="D112" s="32" t="str">
        <f>SmtRes!O55</f>
        <v>маш.-ч</v>
      </c>
      <c r="E112" s="32">
        <f>SmtRes!Y55</f>
        <v>0.03</v>
      </c>
      <c r="F112" s="32">
        <f>SmtRes!Y55*Source!I33</f>
        <v>5.1789</v>
      </c>
      <c r="G112" s="35">
        <f>(SmtRes!AA55+SmtRes!AB55+SmtRes!AD55)</f>
        <v>6.58</v>
      </c>
      <c r="H112" s="36">
        <f>(SmtRes!AA55*SmtRes!Y55*Source!I33+SmtRes!AB55*SmtRes!Y55*Source!I33+SmtRes!AD55*SmtRes!Y55*Source!I33)</f>
        <v>34.077162</v>
      </c>
      <c r="I112" s="32"/>
      <c r="J112" s="36">
        <f>SmtRes!AB55*SmtRes!Y55*Source!I33</f>
        <v>34.077162</v>
      </c>
      <c r="K112" s="36">
        <f>SmtRes!AC55*SmtRes!Y55*Source!I33</f>
        <v>0</v>
      </c>
      <c r="L112" s="32"/>
      <c r="M112" s="32"/>
      <c r="N112" s="33"/>
    </row>
    <row r="113" spans="1:14" ht="28.5">
      <c r="A113" s="31"/>
      <c r="B113" s="34" t="str">
        <f>SmtRes!I56</f>
        <v>110901</v>
      </c>
      <c r="C113" s="34" t="s">
        <v>448</v>
      </c>
      <c r="D113" s="32" t="str">
        <f>SmtRes!O56</f>
        <v>маш.-ч</v>
      </c>
      <c r="E113" s="32">
        <f>SmtRes!Y56</f>
        <v>0.06</v>
      </c>
      <c r="F113" s="32">
        <f>SmtRes!Y56*Source!I33</f>
        <v>10.3578</v>
      </c>
      <c r="G113" s="35">
        <f>(SmtRes!AA56+SmtRes!AB56+SmtRes!AD56)</f>
        <v>149.05</v>
      </c>
      <c r="H113" s="36">
        <f>(SmtRes!AA56*SmtRes!Y56*Source!I33+SmtRes!AB56*SmtRes!Y56*Source!I33+SmtRes!AD56*SmtRes!Y56*Source!I33)</f>
        <v>1543.83009</v>
      </c>
      <c r="I113" s="32"/>
      <c r="J113" s="36">
        <f>SmtRes!AB56*SmtRes!Y56*Source!I33</f>
        <v>1543.83009</v>
      </c>
      <c r="K113" s="36">
        <f>SmtRes!AC56*SmtRes!Y56*Source!I33</f>
        <v>0</v>
      </c>
      <c r="L113" s="32"/>
      <c r="M113" s="32"/>
      <c r="N113" s="33"/>
    </row>
    <row r="114" spans="1:14" ht="28.5">
      <c r="A114" s="31"/>
      <c r="B114" s="34" t="str">
        <f>SmtRes!I57</f>
        <v>331400</v>
      </c>
      <c r="C114" s="34" t="s">
        <v>449</v>
      </c>
      <c r="D114" s="32" t="str">
        <f>SmtRes!O57</f>
        <v>маш.-ч</v>
      </c>
      <c r="E114" s="32">
        <f>SmtRes!Y57</f>
        <v>0.13499999999999998</v>
      </c>
      <c r="F114" s="32">
        <f>SmtRes!Y57*Source!I33</f>
        <v>23.305049999999998</v>
      </c>
      <c r="G114" s="35">
        <f>(SmtRes!AA57+SmtRes!AB57+SmtRes!AD57)</f>
        <v>226.2</v>
      </c>
      <c r="H114" s="36">
        <f>(SmtRes!AA57*SmtRes!Y57*Source!I33+SmtRes!AB57*SmtRes!Y57*Source!I33+SmtRes!AD57*SmtRes!Y57*Source!I33)</f>
        <v>5271.602309999999</v>
      </c>
      <c r="I114" s="32"/>
      <c r="J114" s="36">
        <f>SmtRes!AB57*SmtRes!Y57*Source!I33</f>
        <v>5271.602309999999</v>
      </c>
      <c r="K114" s="36">
        <f>SmtRes!AC57*SmtRes!Y57*Source!I33</f>
        <v>0</v>
      </c>
      <c r="L114" s="32"/>
      <c r="M114" s="32"/>
      <c r="N114" s="33"/>
    </row>
    <row r="115" spans="1:14" ht="43.5">
      <c r="A115" s="31"/>
      <c r="B115" s="34" t="str">
        <f>SmtRes!I58</f>
        <v>400001</v>
      </c>
      <c r="C115" s="34" t="s">
        <v>434</v>
      </c>
      <c r="D115" s="32" t="str">
        <f>SmtRes!O58</f>
        <v>маш.-ч</v>
      </c>
      <c r="E115" s="32">
        <f>SmtRes!Y58</f>
        <v>0.09</v>
      </c>
      <c r="F115" s="32">
        <f>SmtRes!Y58*Source!I33</f>
        <v>15.5367</v>
      </c>
      <c r="G115" s="35">
        <f>(SmtRes!AA58+SmtRes!AB58+SmtRes!AD58)</f>
        <v>698.33</v>
      </c>
      <c r="H115" s="36">
        <f>(SmtRes!AA58*SmtRes!Y58*Source!I33+SmtRes!AB58*SmtRes!Y58*Source!I33+SmtRes!AD58*SmtRes!Y58*Source!I33)</f>
        <v>10849.743711</v>
      </c>
      <c r="I115" s="32"/>
      <c r="J115" s="36">
        <f>SmtRes!AB58*SmtRes!Y58*Source!I33</f>
        <v>10849.743711</v>
      </c>
      <c r="K115" s="36">
        <f>SmtRes!AC58*SmtRes!Y58*Source!I33</f>
        <v>0</v>
      </c>
      <c r="L115" s="32"/>
      <c r="M115" s="32"/>
      <c r="N115" s="33"/>
    </row>
    <row r="116" spans="1:14" ht="30">
      <c r="A116" s="31"/>
      <c r="B116" s="34" t="str">
        <f>SmtRes!I59</f>
        <v>101-2313</v>
      </c>
      <c r="C116" s="34" t="str">
        <f>SmtRes!K59</f>
        <v>Натрий кремнефтористый технический, сорт I</v>
      </c>
      <c r="D116" s="32" t="str">
        <f>SmtRes!O59</f>
        <v>т</v>
      </c>
      <c r="E116" s="32">
        <f>SmtRes!Y59</f>
        <v>0.00127</v>
      </c>
      <c r="F116" s="32">
        <f>SmtRes!Y59*Source!I33</f>
        <v>0.21924010000000002</v>
      </c>
      <c r="G116" s="35">
        <f>(SmtRes!AA59+SmtRes!AB59+SmtRes!AD59)</f>
        <v>49868.65</v>
      </c>
      <c r="H116" s="36">
        <f>(SmtRes!AA59*SmtRes!Y59*Source!I33+SmtRes!AB59*SmtRes!Y59*Source!I33+SmtRes!AD59*SmtRes!Y59*Source!I33)</f>
        <v>10933.207812865001</v>
      </c>
      <c r="I116" s="32"/>
      <c r="J116" s="32"/>
      <c r="K116" s="32"/>
      <c r="L116" s="36">
        <f>SmtRes!AA59*SmtRes!Y59*Source!I33</f>
        <v>10933.207812865001</v>
      </c>
      <c r="M116" s="32"/>
      <c r="N116" s="33"/>
    </row>
    <row r="117" spans="1:14" ht="30">
      <c r="A117" s="31"/>
      <c r="B117" s="34" t="str">
        <f>SmtRes!I60</f>
        <v>101-2319</v>
      </c>
      <c r="C117" s="34" t="str">
        <f>SmtRes!K60</f>
        <v>Стекло натриевое жидкое каустическое</v>
      </c>
      <c r="D117" s="32" t="str">
        <f>SmtRes!O60</f>
        <v>т</v>
      </c>
      <c r="E117" s="32">
        <f>SmtRes!Y60</f>
        <v>0.00847</v>
      </c>
      <c r="F117" s="32">
        <f>SmtRes!Y60*Source!I33</f>
        <v>1.4621761</v>
      </c>
      <c r="G117" s="35">
        <f>(SmtRes!AA60+SmtRes!AB60+SmtRes!AD60)</f>
        <v>37674</v>
      </c>
      <c r="H117" s="36">
        <f>(SmtRes!AA60*SmtRes!Y60*Source!I33+SmtRes!AB60*SmtRes!Y60*Source!I33+SmtRes!AD60*SmtRes!Y60*Source!I33)</f>
        <v>55086.022391399994</v>
      </c>
      <c r="I117" s="32"/>
      <c r="J117" s="32"/>
      <c r="K117" s="32"/>
      <c r="L117" s="36">
        <f>SmtRes!AA60*SmtRes!Y60*Source!I33</f>
        <v>55086.022391399994</v>
      </c>
      <c r="M117" s="32"/>
      <c r="N117" s="33"/>
    </row>
    <row r="118" spans="1:14" ht="45">
      <c r="A118" s="31"/>
      <c r="B118" s="34" t="str">
        <f>SmtRes!I61</f>
        <v>113-0132</v>
      </c>
      <c r="C118" s="34" t="str">
        <f>SmtRes!K61</f>
        <v>Плитки кислотоупорные шамотные квадратные и прямоугольные толщиной 35 мм</v>
      </c>
      <c r="D118" s="32" t="str">
        <f>SmtRes!O61</f>
        <v>м2</v>
      </c>
      <c r="E118" s="32">
        <f>SmtRes!Y61</f>
        <v>1.02</v>
      </c>
      <c r="F118" s="32">
        <f>SmtRes!Y61*Source!I33</f>
        <v>176.08259999999999</v>
      </c>
      <c r="G118" s="35">
        <f>(SmtRes!AA61+SmtRes!AB61+SmtRes!AD61)</f>
        <v>1758</v>
      </c>
      <c r="H118" s="36">
        <f>(SmtRes!AA61*SmtRes!Y61*Source!I33+SmtRes!AB61*SmtRes!Y61*Source!I33+SmtRes!AD61*SmtRes!Y61*Source!I33)</f>
        <v>309553.2108</v>
      </c>
      <c r="I118" s="32"/>
      <c r="J118" s="32"/>
      <c r="K118" s="32"/>
      <c r="L118" s="36">
        <f>SmtRes!AA61*SmtRes!Y61*Source!I33</f>
        <v>309553.2108</v>
      </c>
      <c r="M118" s="32"/>
      <c r="N118" s="33"/>
    </row>
    <row r="119" spans="1:14" ht="30">
      <c r="A119" s="37"/>
      <c r="B119" s="38" t="str">
        <f>SmtRes!I62</f>
        <v>113-0310</v>
      </c>
      <c r="C119" s="38" t="str">
        <f>SmtRes!K62</f>
        <v>Порошок № 2 для кислотоупорной замазки</v>
      </c>
      <c r="D119" s="39" t="str">
        <f>SmtRes!O62</f>
        <v>т</v>
      </c>
      <c r="E119" s="39">
        <f>SmtRes!Y62</f>
        <v>0.0189</v>
      </c>
      <c r="F119" s="39">
        <f>SmtRes!Y62*Source!I33</f>
        <v>3.262707</v>
      </c>
      <c r="G119" s="40">
        <f>(SmtRes!AA62+SmtRes!AB62+SmtRes!AD62)</f>
        <v>16798.8</v>
      </c>
      <c r="H119" s="41">
        <f>(SmtRes!AA62*SmtRes!Y62*Source!I33+SmtRes!AB62*SmtRes!Y62*Source!I33+SmtRes!AD62*SmtRes!Y62*Source!I33)</f>
        <v>54809.5623516</v>
      </c>
      <c r="I119" s="39"/>
      <c r="J119" s="39"/>
      <c r="K119" s="39"/>
      <c r="L119" s="41">
        <f>SmtRes!AA62*SmtRes!Y62*Source!I33</f>
        <v>54809.5623516</v>
      </c>
      <c r="M119" s="39"/>
      <c r="N119" s="42"/>
    </row>
    <row r="120" spans="1:26" ht="82.5">
      <c r="A120" s="13">
        <v>11</v>
      </c>
      <c r="B120" s="13" t="str">
        <f>IF(Source!F34&lt;&gt;"",Source!F34,"")</f>
        <v>13-08-005-1</v>
      </c>
      <c r="C120" s="13" t="s">
        <v>450</v>
      </c>
      <c r="D120" s="14" t="str">
        <f>IF(Source!H34&lt;&gt;"",Source!H34,"")</f>
        <v>1 м2 разделываемой поверхности</v>
      </c>
      <c r="E120" s="14" t="str">
        <f>IF(Source!J34=0," ",Source!J34)</f>
        <v> </v>
      </c>
      <c r="F120" s="15">
        <f>Source!I34</f>
        <v>172.63</v>
      </c>
      <c r="G120" s="16">
        <f>IF(Source!AB34=0," ",Source!AB34)</f>
        <v>790.29</v>
      </c>
      <c r="H120" s="17">
        <f>IF(Source!O34=0," ",Source!O34)</f>
        <v>136428</v>
      </c>
      <c r="I120" s="17">
        <f>IF(Source!S34=0," ",Source!S34)</f>
        <v>78162</v>
      </c>
      <c r="J120" s="17">
        <f>IF(Source!Q34=0," ",Source!Q34)</f>
        <v>4628</v>
      </c>
      <c r="K120" s="17" t="str">
        <f>IF(Source!R34=0," ",Source!R34)</f>
        <v> </v>
      </c>
      <c r="L120" s="17">
        <f>IF(Source!P34=0," ",Source!P34)</f>
        <v>53638</v>
      </c>
      <c r="M120" s="18">
        <f>IF(Source!U34=0," ",ROUND(Source!U34,6))</f>
        <v>505.046328</v>
      </c>
      <c r="N120" s="18">
        <f>IF(Source!V34=0," ",ROUND(Source!V34,6))</f>
        <v>12.94725</v>
      </c>
      <c r="T120">
        <f>IF(Source!O34=0," ",Source!O34)</f>
        <v>136428</v>
      </c>
      <c r="U120">
        <v>53638</v>
      </c>
      <c r="V120">
        <f>IF(Source!S34=0," ",Source!S34)</f>
        <v>78162</v>
      </c>
      <c r="W120">
        <f>IF(Source!Q34=0," ",Source!Q34)</f>
        <v>4628</v>
      </c>
      <c r="X120" t="str">
        <f>IF(Source!R34=0," ",Source!R34)</f>
        <v> </v>
      </c>
      <c r="Y120">
        <f>IF(Source!U34=0," ",ROUND(Source!U34,6))</f>
        <v>505.046328</v>
      </c>
      <c r="Z120">
        <f>IF(Source!V34=0," ",ROUND(Source!V34,6))</f>
        <v>12.94725</v>
      </c>
    </row>
    <row r="121" spans="1:14" ht="15">
      <c r="A121" s="48"/>
      <c r="B121" s="48"/>
      <c r="C121" s="19" t="s">
        <v>168</v>
      </c>
      <c r="D121" s="20" t="str">
        <f>CONCATENATE(Source!AT34," %")</f>
        <v>68,85 %</v>
      </c>
      <c r="E121" s="20"/>
      <c r="F121" s="20"/>
      <c r="G121" s="20"/>
      <c r="H121" s="21">
        <f>Source!X34</f>
        <v>53815</v>
      </c>
      <c r="I121" s="48"/>
      <c r="J121" s="48"/>
      <c r="K121" s="48"/>
      <c r="L121" s="48"/>
      <c r="M121" s="48"/>
      <c r="N121" s="48"/>
    </row>
    <row r="122" spans="1:14" ht="15">
      <c r="A122" s="48"/>
      <c r="B122" s="48"/>
      <c r="C122" s="19" t="s">
        <v>170</v>
      </c>
      <c r="D122" s="20" t="str">
        <f>CONCATENATE(Source!AU34," %")</f>
        <v>47,6 %</v>
      </c>
      <c r="E122" s="20"/>
      <c r="F122" s="20"/>
      <c r="G122" s="20"/>
      <c r="H122" s="21">
        <f>Source!Y34</f>
        <v>37205</v>
      </c>
      <c r="I122" s="48"/>
      <c r="J122" s="48"/>
      <c r="K122" s="48"/>
      <c r="L122" s="48"/>
      <c r="M122" s="48"/>
      <c r="N122" s="48"/>
    </row>
    <row r="123" spans="1:14" ht="14.25">
      <c r="A123" s="49"/>
      <c r="B123" s="49"/>
      <c r="C123" s="22" t="s">
        <v>422</v>
      </c>
      <c r="D123" s="23"/>
      <c r="E123" s="23"/>
      <c r="F123" s="23"/>
      <c r="G123" s="23"/>
      <c r="H123" s="24">
        <f>SUMIF(Source!AA34:Source!AA34,"=26917020",Source!GM34:Source!GM34)</f>
        <v>227448</v>
      </c>
      <c r="I123" s="49"/>
      <c r="J123" s="49"/>
      <c r="K123" s="49"/>
      <c r="L123" s="49"/>
      <c r="M123" s="49"/>
      <c r="N123" s="49"/>
    </row>
    <row r="124" spans="1:14" ht="43.5">
      <c r="A124" s="25"/>
      <c r="B124" s="28" t="str">
        <f>SmtRes!I63</f>
        <v>1-1046</v>
      </c>
      <c r="C124" s="28" t="s">
        <v>447</v>
      </c>
      <c r="D124" s="26" t="str">
        <f>SmtRes!O63</f>
        <v>чел.-ч</v>
      </c>
      <c r="E124" s="26">
        <f>SmtRes!Y63</f>
        <v>2.9255999999999998</v>
      </c>
      <c r="F124" s="26">
        <f>SmtRes!Y63*Source!I34</f>
        <v>505.04632799999996</v>
      </c>
      <c r="G124" s="29">
        <f>(SmtRes!AA63+SmtRes!AB63+SmtRes!AD63)</f>
        <v>154.76</v>
      </c>
      <c r="H124" s="30">
        <f>(SmtRes!AA63*SmtRes!Y63*Source!I34+SmtRes!AB63*SmtRes!Y63*Source!I34+SmtRes!AD63*SmtRes!Y63*Source!I34)</f>
        <v>78160.96972127998</v>
      </c>
      <c r="I124" s="30">
        <f>SmtRes!AD63*SmtRes!Y63*Source!I34</f>
        <v>78160.96972127998</v>
      </c>
      <c r="J124" s="26"/>
      <c r="K124" s="26"/>
      <c r="L124" s="26"/>
      <c r="M124" s="26"/>
      <c r="N124" s="27"/>
    </row>
    <row r="125" spans="1:14" ht="28.5">
      <c r="A125" s="31"/>
      <c r="B125" s="34" t="str">
        <f>SmtRes!I64</f>
        <v>2</v>
      </c>
      <c r="C125" s="34" t="s">
        <v>428</v>
      </c>
      <c r="D125" s="32" t="str">
        <f>SmtRes!O64</f>
        <v>чел.час</v>
      </c>
      <c r="E125" s="32">
        <f>SmtRes!Y64</f>
        <v>0.075</v>
      </c>
      <c r="F125" s="32">
        <f>SmtRes!Y64*Source!I34</f>
        <v>12.947249999999999</v>
      </c>
      <c r="G125" s="35">
        <f>(SmtRes!AA64+SmtRes!AB64+SmtRes!AD64)</f>
        <v>0</v>
      </c>
      <c r="H125" s="36">
        <f>(SmtRes!AA64*SmtRes!Y64*Source!I34+SmtRes!AB64*SmtRes!Y64*Source!I34+SmtRes!AD64*SmtRes!Y64*Source!I34)</f>
        <v>0</v>
      </c>
      <c r="I125" s="32"/>
      <c r="J125" s="32"/>
      <c r="K125" s="36">
        <f>SmtRes!AC64*SmtRes!Y64*Source!I34</f>
        <v>0</v>
      </c>
      <c r="L125" s="32"/>
      <c r="M125" s="32"/>
      <c r="N125" s="33"/>
    </row>
    <row r="126" spans="1:14" ht="28.5">
      <c r="A126" s="31"/>
      <c r="B126" s="34" t="str">
        <f>SmtRes!I65</f>
        <v>030101</v>
      </c>
      <c r="C126" s="34" t="s">
        <v>444</v>
      </c>
      <c r="D126" s="32" t="str">
        <f>SmtRes!O65</f>
        <v>маш.-ч</v>
      </c>
      <c r="E126" s="32">
        <f>SmtRes!Y65</f>
        <v>0.015</v>
      </c>
      <c r="F126" s="32">
        <f>SmtRes!Y65*Source!I34</f>
        <v>2.58945</v>
      </c>
      <c r="G126" s="35">
        <f>(SmtRes!AA65+SmtRes!AB65+SmtRes!AD65)</f>
        <v>492.75</v>
      </c>
      <c r="H126" s="36">
        <f>(SmtRes!AA65*SmtRes!Y65*Source!I34+SmtRes!AB65*SmtRes!Y65*Source!I34+SmtRes!AD65*SmtRes!Y65*Source!I34)</f>
        <v>1275.9514874999998</v>
      </c>
      <c r="I126" s="32"/>
      <c r="J126" s="36">
        <f>SmtRes!AB65*SmtRes!Y65*Source!I34</f>
        <v>1275.9514874999998</v>
      </c>
      <c r="K126" s="36">
        <f>SmtRes!AC65*SmtRes!Y65*Source!I34</f>
        <v>0</v>
      </c>
      <c r="L126" s="32"/>
      <c r="M126" s="32"/>
      <c r="N126" s="33"/>
    </row>
    <row r="127" spans="1:14" ht="28.5">
      <c r="A127" s="31"/>
      <c r="B127" s="34" t="str">
        <f>SmtRes!I66</f>
        <v>110901</v>
      </c>
      <c r="C127" s="34" t="s">
        <v>448</v>
      </c>
      <c r="D127" s="32" t="str">
        <f>SmtRes!O66</f>
        <v>маш.-ч</v>
      </c>
      <c r="E127" s="32">
        <f>SmtRes!Y66</f>
        <v>0.06</v>
      </c>
      <c r="F127" s="32">
        <f>SmtRes!Y66*Source!I34</f>
        <v>10.3578</v>
      </c>
      <c r="G127" s="35">
        <f>(SmtRes!AA66+SmtRes!AB66+SmtRes!AD66)</f>
        <v>149.05</v>
      </c>
      <c r="H127" s="36">
        <f>(SmtRes!AA66*SmtRes!Y66*Source!I34+SmtRes!AB66*SmtRes!Y66*Source!I34+SmtRes!AD66*SmtRes!Y66*Source!I34)</f>
        <v>1543.83009</v>
      </c>
      <c r="I127" s="32"/>
      <c r="J127" s="36">
        <f>SmtRes!AB66*SmtRes!Y66*Source!I34</f>
        <v>1543.83009</v>
      </c>
      <c r="K127" s="36">
        <f>SmtRes!AC66*SmtRes!Y66*Source!I34</f>
        <v>0</v>
      </c>
      <c r="L127" s="32"/>
      <c r="M127" s="32"/>
      <c r="N127" s="33"/>
    </row>
    <row r="128" spans="1:14" ht="43.5">
      <c r="A128" s="31"/>
      <c r="B128" s="34" t="str">
        <f>SmtRes!I67</f>
        <v>400001</v>
      </c>
      <c r="C128" s="34" t="s">
        <v>434</v>
      </c>
      <c r="D128" s="32" t="str">
        <f>SmtRes!O67</f>
        <v>маш.-ч</v>
      </c>
      <c r="E128" s="32">
        <f>SmtRes!Y67</f>
        <v>0.015</v>
      </c>
      <c r="F128" s="32">
        <f>SmtRes!Y67*Source!I34</f>
        <v>2.58945</v>
      </c>
      <c r="G128" s="35">
        <f>(SmtRes!AA67+SmtRes!AB67+SmtRes!AD67)</f>
        <v>698.33</v>
      </c>
      <c r="H128" s="36">
        <f>(SmtRes!AA67*SmtRes!Y67*Source!I34+SmtRes!AB67*SmtRes!Y67*Source!I34+SmtRes!AD67*SmtRes!Y67*Source!I34)</f>
        <v>1808.2906185</v>
      </c>
      <c r="I128" s="32"/>
      <c r="J128" s="36">
        <f>SmtRes!AB67*SmtRes!Y67*Source!I34</f>
        <v>1808.2906185</v>
      </c>
      <c r="K128" s="36">
        <f>SmtRes!AC67*SmtRes!Y67*Source!I34</f>
        <v>0</v>
      </c>
      <c r="L128" s="32"/>
      <c r="M128" s="32"/>
      <c r="N128" s="33"/>
    </row>
    <row r="129" spans="1:14" ht="15">
      <c r="A129" s="31"/>
      <c r="B129" s="34" t="str">
        <f>SmtRes!I68</f>
        <v>113-0003</v>
      </c>
      <c r="C129" s="34" t="str">
        <f>SmtRes!K68</f>
        <v>Ацетон технический, сорт I</v>
      </c>
      <c r="D129" s="32" t="str">
        <f>SmtRes!O68</f>
        <v>т</v>
      </c>
      <c r="E129" s="32">
        <f>SmtRes!Y68</f>
        <v>7E-05</v>
      </c>
      <c r="F129" s="32">
        <f>SmtRes!Y68*Source!I34</f>
        <v>0.012084099999999999</v>
      </c>
      <c r="G129" s="35">
        <f>(SmtRes!AA68+SmtRes!AB68+SmtRes!AD68)</f>
        <v>132200</v>
      </c>
      <c r="H129" s="36">
        <f>(SmtRes!AA68*SmtRes!Y68*Source!I34+SmtRes!AB68*SmtRes!Y68*Source!I34+SmtRes!AD68*SmtRes!Y68*Source!I34)</f>
        <v>1597.51802</v>
      </c>
      <c r="I129" s="32"/>
      <c r="J129" s="32"/>
      <c r="K129" s="32"/>
      <c r="L129" s="36">
        <f>SmtRes!AA68*SmtRes!Y68*Source!I34</f>
        <v>1597.51802</v>
      </c>
      <c r="M129" s="32"/>
      <c r="N129" s="33"/>
    </row>
    <row r="130" spans="1:14" ht="30">
      <c r="A130" s="31"/>
      <c r="B130" s="34" t="str">
        <f>SmtRes!I69</f>
        <v>113-0152</v>
      </c>
      <c r="C130" s="34" t="str">
        <f>SmtRes!K69</f>
        <v>Полиэтиленполиамин (ПЭПА) технический, марка А</v>
      </c>
      <c r="D130" s="32" t="str">
        <f>SmtRes!O69</f>
        <v>т</v>
      </c>
      <c r="E130" s="32">
        <f>SmtRes!Y69</f>
        <v>5E-05</v>
      </c>
      <c r="F130" s="32">
        <f>SmtRes!Y69*Source!I34</f>
        <v>0.0086315</v>
      </c>
      <c r="G130" s="35">
        <f>(SmtRes!AA69+SmtRes!AB69+SmtRes!AD69)</f>
        <v>658043.5</v>
      </c>
      <c r="H130" s="36">
        <f>(SmtRes!AA69*SmtRes!Y69*Source!I34+SmtRes!AB69*SmtRes!Y69*Source!I34+SmtRes!AD69*SmtRes!Y69*Source!I34)</f>
        <v>5679.90247025</v>
      </c>
      <c r="I130" s="32"/>
      <c r="J130" s="32"/>
      <c r="K130" s="32"/>
      <c r="L130" s="36">
        <f>SmtRes!AA69*SmtRes!Y69*Source!I34</f>
        <v>5679.90247025</v>
      </c>
      <c r="M130" s="32"/>
      <c r="N130" s="33"/>
    </row>
    <row r="131" spans="1:14" ht="15">
      <c r="A131" s="31"/>
      <c r="B131" s="34" t="str">
        <f>SmtRes!I70</f>
        <v>113-0163</v>
      </c>
      <c r="C131" s="34" t="str">
        <f>SmtRes!K70</f>
        <v>Смола эпоксидная марки ЭД-20</v>
      </c>
      <c r="D131" s="32" t="str">
        <f>SmtRes!O70</f>
        <v>т</v>
      </c>
      <c r="E131" s="32">
        <f>SmtRes!Y70</f>
        <v>0.0005</v>
      </c>
      <c r="F131" s="32">
        <f>SmtRes!Y70*Source!I34</f>
        <v>0.086315</v>
      </c>
      <c r="G131" s="35">
        <f>(SmtRes!AA70+SmtRes!AB70+SmtRes!AD70)</f>
        <v>498000</v>
      </c>
      <c r="H131" s="36">
        <f>(SmtRes!AA70*SmtRes!Y70*Source!I34+SmtRes!AB70*SmtRes!Y70*Source!I34+SmtRes!AD70*SmtRes!Y70*Source!I34)</f>
        <v>42984.869999999995</v>
      </c>
      <c r="I131" s="32"/>
      <c r="J131" s="32"/>
      <c r="K131" s="32"/>
      <c r="L131" s="36">
        <f>SmtRes!AA70*SmtRes!Y70*Source!I34</f>
        <v>42984.869999999995</v>
      </c>
      <c r="M131" s="32"/>
      <c r="N131" s="33"/>
    </row>
    <row r="132" spans="1:14" ht="30">
      <c r="A132" s="31"/>
      <c r="B132" s="34" t="str">
        <f>SmtRes!I71</f>
        <v>113-0310</v>
      </c>
      <c r="C132" s="34" t="str">
        <f>SmtRes!K71</f>
        <v>Порошок № 2 для кислотоупорной замазки</v>
      </c>
      <c r="D132" s="32" t="str">
        <f>SmtRes!O71</f>
        <v>т</v>
      </c>
      <c r="E132" s="32">
        <f>SmtRes!Y71</f>
        <v>0.00012</v>
      </c>
      <c r="F132" s="32">
        <f>SmtRes!Y71*Source!I34</f>
        <v>0.0207156</v>
      </c>
      <c r="G132" s="35">
        <f>(SmtRes!AA71+SmtRes!AB71+SmtRes!AD71)</f>
        <v>16798.8</v>
      </c>
      <c r="H132" s="36">
        <f>(SmtRes!AA71*SmtRes!Y71*Source!I34+SmtRes!AB71*SmtRes!Y71*Source!I34+SmtRes!AD71*SmtRes!Y71*Source!I34)</f>
        <v>347.99722127999996</v>
      </c>
      <c r="I132" s="32"/>
      <c r="J132" s="32"/>
      <c r="K132" s="32"/>
      <c r="L132" s="36">
        <f>SmtRes!AA71*SmtRes!Y71*Source!I34</f>
        <v>347.99722127999996</v>
      </c>
      <c r="M132" s="32"/>
      <c r="N132" s="33"/>
    </row>
    <row r="133" spans="1:14" ht="15">
      <c r="A133" s="37"/>
      <c r="B133" s="38" t="str">
        <f>SmtRes!I72</f>
        <v>113-0338</v>
      </c>
      <c r="C133" s="38" t="str">
        <f>SmtRes!K72</f>
        <v>Дибутилфталат технический, сорт I</v>
      </c>
      <c r="D133" s="39" t="str">
        <f>SmtRes!O72</f>
        <v>т</v>
      </c>
      <c r="E133" s="39">
        <f>SmtRes!Y72</f>
        <v>5E-05</v>
      </c>
      <c r="F133" s="39">
        <f>SmtRes!Y72*Source!I34</f>
        <v>0.0086315</v>
      </c>
      <c r="G133" s="40">
        <f>(SmtRes!AA72+SmtRes!AB72+SmtRes!AD72)</f>
        <v>350700.9</v>
      </c>
      <c r="H133" s="41">
        <f>(SmtRes!AA72*SmtRes!Y72*Source!I34+SmtRes!AB72*SmtRes!Y72*Source!I34+SmtRes!AD72*SmtRes!Y72*Source!I34)</f>
        <v>3027.0748183500004</v>
      </c>
      <c r="I133" s="39"/>
      <c r="J133" s="39"/>
      <c r="K133" s="39"/>
      <c r="L133" s="41">
        <f>SmtRes!AA72*SmtRes!Y72*Source!I34</f>
        <v>3027.0748183500004</v>
      </c>
      <c r="M133" s="39"/>
      <c r="N133" s="42"/>
    </row>
    <row r="134" spans="1:26" ht="41.25">
      <c r="A134" s="13">
        <v>12</v>
      </c>
      <c r="B134" s="13" t="str">
        <f>IF(Source!F35&lt;&gt;"",Source!F35,"")</f>
        <v>69-9-1</v>
      </c>
      <c r="C134" s="13" t="s">
        <v>451</v>
      </c>
      <c r="D134" s="14" t="str">
        <f>IF(Source!H35&lt;&gt;"",Source!H35,"")</f>
        <v>100 т мусора</v>
      </c>
      <c r="E134" s="14" t="str">
        <f>IF(Source!J35=0," ",Source!J35)</f>
        <v> </v>
      </c>
      <c r="F134" s="15">
        <f>Source!I35</f>
        <v>0.315</v>
      </c>
      <c r="G134" s="16">
        <f>IF(Source!AB35=0," ",Source!AB35)</f>
        <v>22921.52</v>
      </c>
      <c r="H134" s="17">
        <f>IF(Source!O35=0," ",Source!O35)</f>
        <v>7220</v>
      </c>
      <c r="I134" s="17">
        <f>IF(Source!S35=0," ",Source!S35)</f>
        <v>7220</v>
      </c>
      <c r="J134" s="17" t="str">
        <f>IF(Source!Q35=0," ",Source!Q35)</f>
        <v> </v>
      </c>
      <c r="K134" s="17" t="str">
        <f>IF(Source!R35=0," ",Source!R35)</f>
        <v> </v>
      </c>
      <c r="L134" s="17" t="str">
        <f>IF(Source!P35=0," ",Source!P35)</f>
        <v> </v>
      </c>
      <c r="M134" s="18">
        <f>IF(Source!U35=0," ",ROUND(Source!U35,6))</f>
        <v>67.5108</v>
      </c>
      <c r="N134" s="18" t="str">
        <f>IF(Source!V35=0," ",ROUND(Source!V35,6))</f>
        <v> </v>
      </c>
      <c r="T134">
        <f>IF(Source!O35=0," ",Source!O35)</f>
        <v>7220</v>
      </c>
      <c r="U134" t="s">
        <v>420</v>
      </c>
      <c r="V134">
        <f>IF(Source!S35=0," ",Source!S35)</f>
        <v>7220</v>
      </c>
      <c r="W134" t="str">
        <f>IF(Source!Q35=0," ",Source!Q35)</f>
        <v> </v>
      </c>
      <c r="X134" t="str">
        <f>IF(Source!R35=0," ",Source!R35)</f>
        <v> </v>
      </c>
      <c r="Y134">
        <f>IF(Source!U35=0," ",ROUND(Source!U35,6))</f>
        <v>67.5108</v>
      </c>
      <c r="Z134" t="str">
        <f>IF(Source!V35=0," ",ROUND(Source!V35,6))</f>
        <v> </v>
      </c>
    </row>
    <row r="135" spans="1:14" ht="15">
      <c r="A135" s="48"/>
      <c r="B135" s="48"/>
      <c r="C135" s="19" t="s">
        <v>168</v>
      </c>
      <c r="D135" s="20" t="str">
        <f>CONCATENATE(Source!AT35," %")</f>
        <v>66,3 %</v>
      </c>
      <c r="E135" s="20"/>
      <c r="F135" s="20"/>
      <c r="G135" s="20"/>
      <c r="H135" s="21">
        <f>Source!X35</f>
        <v>4787</v>
      </c>
      <c r="I135" s="48"/>
      <c r="J135" s="48"/>
      <c r="K135" s="48"/>
      <c r="L135" s="48"/>
      <c r="M135" s="48"/>
      <c r="N135" s="48"/>
    </row>
    <row r="136" spans="1:14" ht="15">
      <c r="A136" s="48"/>
      <c r="B136" s="48"/>
      <c r="C136" s="19" t="s">
        <v>170</v>
      </c>
      <c r="D136" s="20" t="str">
        <f>CONCATENATE(Source!AU35," %")</f>
        <v>40 %</v>
      </c>
      <c r="E136" s="20"/>
      <c r="F136" s="20"/>
      <c r="G136" s="20"/>
      <c r="H136" s="21">
        <f>Source!Y35</f>
        <v>2888</v>
      </c>
      <c r="I136" s="48"/>
      <c r="J136" s="48"/>
      <c r="K136" s="48"/>
      <c r="L136" s="48"/>
      <c r="M136" s="48"/>
      <c r="N136" s="48"/>
    </row>
    <row r="137" spans="1:14" ht="14.25">
      <c r="A137" s="49"/>
      <c r="B137" s="49"/>
      <c r="C137" s="22" t="s">
        <v>422</v>
      </c>
      <c r="D137" s="23"/>
      <c r="E137" s="23"/>
      <c r="F137" s="23"/>
      <c r="G137" s="23"/>
      <c r="H137" s="24">
        <f>SUMIF(Source!AA35:Source!AA35,"=26917020",Source!GM35:Source!GM35)</f>
        <v>14895</v>
      </c>
      <c r="I137" s="49"/>
      <c r="J137" s="49"/>
      <c r="K137" s="49"/>
      <c r="L137" s="49"/>
      <c r="M137" s="49"/>
      <c r="N137" s="49"/>
    </row>
    <row r="138" spans="1:14" ht="30">
      <c r="A138" s="25"/>
      <c r="B138" s="28" t="str">
        <f>SmtRes!I73</f>
        <v>1-1011</v>
      </c>
      <c r="C138" s="28" t="str">
        <f>SmtRes!K73</f>
        <v>Рабочий строитель среднего разряда 1,1</v>
      </c>
      <c r="D138" s="26" t="str">
        <f>SmtRes!O73</f>
        <v>чел.-ч</v>
      </c>
      <c r="E138" s="26">
        <f>SmtRes!Y73</f>
        <v>214.32</v>
      </c>
      <c r="F138" s="26">
        <f>SmtRes!Y73*Source!I35</f>
        <v>67.5108</v>
      </c>
      <c r="G138" s="29">
        <f>(SmtRes!AA73+SmtRes!AB73+SmtRes!AD73)</f>
        <v>106.95</v>
      </c>
      <c r="H138" s="30">
        <f>(SmtRes!AA73*SmtRes!Y73*Source!I35+SmtRes!AB73*SmtRes!Y73*Source!I35+SmtRes!AD73*SmtRes!Y73*Source!I35)</f>
        <v>7220.28006</v>
      </c>
      <c r="I138" s="30">
        <f>SmtRes!AD73*SmtRes!Y73*Source!I35</f>
        <v>7220.28006</v>
      </c>
      <c r="J138" s="26"/>
      <c r="K138" s="26"/>
      <c r="L138" s="26"/>
      <c r="M138" s="26"/>
      <c r="N138" s="27"/>
    </row>
    <row r="139" spans="1:14" ht="15">
      <c r="A139" s="37"/>
      <c r="B139" s="38" t="str">
        <f>SmtRes!I74</f>
        <v>509-9900</v>
      </c>
      <c r="C139" s="38" t="str">
        <f>SmtRes!K74</f>
        <v>Строительный мусор</v>
      </c>
      <c r="D139" s="39" t="str">
        <f>SmtRes!O74</f>
        <v>т</v>
      </c>
      <c r="E139" s="39">
        <f>SmtRes!Y74</f>
        <v>100</v>
      </c>
      <c r="F139" s="39">
        <f>SmtRes!Y74*Source!I35</f>
        <v>31.5</v>
      </c>
      <c r="G139" s="40">
        <f>(SmtRes!AA74+SmtRes!AB74+SmtRes!AD74)</f>
        <v>0</v>
      </c>
      <c r="H139" s="41">
        <f>(SmtRes!AA74*SmtRes!Y74*Source!I35+SmtRes!AB74*SmtRes!Y74*Source!I35+SmtRes!AD74*SmtRes!Y74*Source!I35)</f>
        <v>0</v>
      </c>
      <c r="I139" s="39"/>
      <c r="J139" s="39"/>
      <c r="K139" s="39"/>
      <c r="L139" s="41">
        <f>SmtRes!AA74*SmtRes!Y74*Source!I35</f>
        <v>0</v>
      </c>
      <c r="M139" s="39"/>
      <c r="N139" s="42"/>
    </row>
    <row r="140" spans="1:26" ht="55.5">
      <c r="A140" s="13">
        <v>13</v>
      </c>
      <c r="B140" s="13" t="str">
        <f>IF(Source!F36&lt;&gt;"",Source!F36,"")</f>
        <v>ФСЦП 311-01-148-1</v>
      </c>
      <c r="C140" s="13" t="s">
        <v>452</v>
      </c>
      <c r="D140" s="14" t="str">
        <f>IF(Source!H36&lt;&gt;"",Source!H36,"")</f>
        <v>т</v>
      </c>
      <c r="E140" s="14" t="str">
        <f>IF(Source!J36=0," ",Source!J36)</f>
        <v> </v>
      </c>
      <c r="F140" s="15">
        <f>Source!I36</f>
        <v>31.5</v>
      </c>
      <c r="G140" s="16">
        <f>IF(Source!AB36=0," ",Source!AB36)</f>
        <v>16.99</v>
      </c>
      <c r="H140" s="17">
        <f>IF(Source!O36=0," ",Source!O36)</f>
        <v>535</v>
      </c>
      <c r="I140" s="17" t="str">
        <f>IF(Source!S36=0," ",Source!S36)</f>
        <v> </v>
      </c>
      <c r="J140" s="17">
        <f>IF(Source!Q36=0," ",Source!Q36)</f>
        <v>535</v>
      </c>
      <c r="K140" s="17" t="str">
        <f>IF(Source!R36=0," ",Source!R36)</f>
        <v> </v>
      </c>
      <c r="L140" s="17" t="str">
        <f>IF(Source!P36=0," ",Source!P36)</f>
        <v> </v>
      </c>
      <c r="M140" s="18" t="str">
        <f>IF(Source!U36=0," ",ROUND(Source!U36,6))</f>
        <v> </v>
      </c>
      <c r="N140" s="18">
        <f>IF(Source!V36=0," ",ROUND(Source!V36,6))</f>
        <v>0.756</v>
      </c>
      <c r="T140">
        <f>IF(Source!O36=0," ",Source!O36)</f>
        <v>535</v>
      </c>
      <c r="U140" t="s">
        <v>420</v>
      </c>
      <c r="V140" t="str">
        <f>IF(Source!S36=0," ",Source!S36)</f>
        <v> </v>
      </c>
      <c r="W140">
        <f>IF(Source!Q36=0," ",Source!Q36)</f>
        <v>535</v>
      </c>
      <c r="X140" t="str">
        <f>IF(Source!R36=0," ",Source!R36)</f>
        <v> </v>
      </c>
      <c r="Y140" t="str">
        <f>IF(Source!U36=0," ",ROUND(Source!U36,6))</f>
        <v> </v>
      </c>
      <c r="Z140">
        <f>IF(Source!V36=0," ",ROUND(Source!V36,6))</f>
        <v>0.756</v>
      </c>
    </row>
    <row r="141" spans="1:14" ht="14.25">
      <c r="A141" s="49"/>
      <c r="B141" s="49"/>
      <c r="C141" s="22" t="s">
        <v>422</v>
      </c>
      <c r="D141" s="23"/>
      <c r="E141" s="23"/>
      <c r="F141" s="23"/>
      <c r="G141" s="23"/>
      <c r="H141" s="24">
        <f>SUMIF(Source!AA36:Source!AA36,"=26917020",Source!GM36:Source!GM36)</f>
        <v>535</v>
      </c>
      <c r="I141" s="49"/>
      <c r="J141" s="49"/>
      <c r="K141" s="49"/>
      <c r="L141" s="49"/>
      <c r="M141" s="49"/>
      <c r="N141" s="49"/>
    </row>
    <row r="142" spans="1:14" ht="15">
      <c r="A142" s="25"/>
      <c r="B142" s="28" t="str">
        <f>SmtRes!I75</f>
        <v>2</v>
      </c>
      <c r="C142" s="28" t="str">
        <f>SmtRes!K75</f>
        <v>Затраты труда машинистов</v>
      </c>
      <c r="D142" s="26" t="str">
        <f>SmtRes!O75</f>
        <v>чел.час</v>
      </c>
      <c r="E142" s="26">
        <f>SmtRes!Y75</f>
        <v>0.024</v>
      </c>
      <c r="F142" s="26">
        <f>SmtRes!Y75*Source!I36</f>
        <v>0.756</v>
      </c>
      <c r="G142" s="29">
        <f>(SmtRes!AA75+SmtRes!AB75+SmtRes!AD75)</f>
        <v>0</v>
      </c>
      <c r="H142" s="30">
        <f>(SmtRes!AA75*SmtRes!Y75*Source!I36+SmtRes!AB75*SmtRes!Y75*Source!I36+SmtRes!AD75*SmtRes!Y75*Source!I36)</f>
        <v>0</v>
      </c>
      <c r="I142" s="26"/>
      <c r="J142" s="26"/>
      <c r="K142" s="30">
        <f>SmtRes!AC75*SmtRes!Y75*Source!I36</f>
        <v>0</v>
      </c>
      <c r="L142" s="26"/>
      <c r="M142" s="26"/>
      <c r="N142" s="27"/>
    </row>
    <row r="143" spans="1:14" ht="45">
      <c r="A143" s="37"/>
      <c r="B143" s="38" t="str">
        <f>SmtRes!I76</f>
        <v>060248</v>
      </c>
      <c r="C143" s="38" t="str">
        <f>SmtRes!K76</f>
        <v>Экскаваторы одноковшовые дизельные на гусеничном ходу при работе на других видах строительства 0,65 м3</v>
      </c>
      <c r="D143" s="39" t="str">
        <f>SmtRes!O76</f>
        <v>маш.ч</v>
      </c>
      <c r="E143" s="39">
        <f>SmtRes!Y76</f>
        <v>0.024</v>
      </c>
      <c r="F143" s="39">
        <f>SmtRes!Y76*Source!I36</f>
        <v>0.756</v>
      </c>
      <c r="G143" s="40">
        <f>(SmtRes!AA76+SmtRes!AB76+SmtRes!AD76)</f>
        <v>707.78</v>
      </c>
      <c r="H143" s="41">
        <f>(SmtRes!AA76*SmtRes!Y76*Source!I36+SmtRes!AB76*SmtRes!Y76*Source!I36+SmtRes!AD76*SmtRes!Y76*Source!I36)</f>
        <v>535.0816799999999</v>
      </c>
      <c r="I143" s="39"/>
      <c r="J143" s="41">
        <f>SmtRes!AB76*SmtRes!Y76*Source!I36</f>
        <v>535.0816799999999</v>
      </c>
      <c r="K143" s="41">
        <f>SmtRes!AC76*SmtRes!Y76*Source!I36</f>
        <v>0</v>
      </c>
      <c r="L143" s="39"/>
      <c r="M143" s="39"/>
      <c r="N143" s="42"/>
    </row>
    <row r="144" spans="1:26" ht="71.25">
      <c r="A144" s="13">
        <v>14</v>
      </c>
      <c r="B144" s="13" t="str">
        <f>IF(Source!F37&lt;&gt;"",Source!F37,"")</f>
        <v>ФСЦП 310-3021-1</v>
      </c>
      <c r="C144" s="13" t="str">
        <f>IF(Source!G37&lt;&gt;"",Source!G37,"")</f>
        <v>Перевозка грузов автомобилями-самосвалами грузоподъёмностью 10 т. работающих вне карьера: расстояние перевозки 21 км. нормативное время пробега 1,518 час; класс груза 1</v>
      </c>
      <c r="D144" s="14" t="str">
        <f>IF(Source!H37&lt;&gt;"",Source!H37,"")</f>
        <v>т</v>
      </c>
      <c r="E144" s="14" t="str">
        <f>IF(Source!J37=0," ",Source!J37)</f>
        <v> </v>
      </c>
      <c r="F144" s="15">
        <f>Source!I37</f>
        <v>31.5</v>
      </c>
      <c r="G144" s="16">
        <f>IF(Source!AB37=0," ",Source!AB37)</f>
        <v>178.15</v>
      </c>
      <c r="H144" s="17">
        <f>IF(Source!O37=0," ",Source!O37)</f>
        <v>5612</v>
      </c>
      <c r="I144" s="17" t="str">
        <f>IF(Source!S37=0," ",Source!S37)</f>
        <v> </v>
      </c>
      <c r="J144" s="17">
        <f>IF(Source!Q37=0," ",Source!Q37)</f>
        <v>5612</v>
      </c>
      <c r="K144" s="17" t="str">
        <f>IF(Source!R37=0," ",Source!R37)</f>
        <v> </v>
      </c>
      <c r="L144" s="17" t="str">
        <f>IF(Source!P37=0," ",Source!P37)</f>
        <v> </v>
      </c>
      <c r="M144" s="18" t="str">
        <f>IF(Source!U37=0," ",ROUND(Source!U37,6))</f>
        <v> </v>
      </c>
      <c r="N144" s="18" t="str">
        <f>IF(Source!V37=0," ",ROUND(Source!V37,6))</f>
        <v> </v>
      </c>
      <c r="T144">
        <f>IF(Source!O37=0," ",Source!O37)</f>
        <v>5612</v>
      </c>
      <c r="U144" t="s">
        <v>420</v>
      </c>
      <c r="V144" t="str">
        <f>IF(Source!S37=0," ",Source!S37)</f>
        <v> </v>
      </c>
      <c r="W144">
        <f>IF(Source!Q37=0," ",Source!Q37)</f>
        <v>5612</v>
      </c>
      <c r="X144" t="str">
        <f>IF(Source!R37=0," ",Source!R37)</f>
        <v> </v>
      </c>
      <c r="Y144" t="str">
        <f>IF(Source!U37=0," ",ROUND(Source!U37,6))</f>
        <v> </v>
      </c>
      <c r="Z144" t="str">
        <f>IF(Source!V37=0," ",ROUND(Source!V37,6))</f>
        <v> </v>
      </c>
    </row>
    <row r="145" spans="1:14" ht="14.25">
      <c r="A145" s="49"/>
      <c r="B145" s="49"/>
      <c r="C145" s="22" t="s">
        <v>422</v>
      </c>
      <c r="D145" s="23"/>
      <c r="E145" s="23"/>
      <c r="F145" s="23"/>
      <c r="G145" s="23"/>
      <c r="H145" s="24">
        <f>SUMIF(Source!AA37:Source!AA37,"=26917020",Source!GM37:Source!GM37)</f>
        <v>5612</v>
      </c>
      <c r="I145" s="49"/>
      <c r="J145" s="49"/>
      <c r="K145" s="49"/>
      <c r="L145" s="49"/>
      <c r="M145" s="49"/>
      <c r="N145" s="49"/>
    </row>
    <row r="146" spans="1:14" ht="15">
      <c r="A146" s="25"/>
      <c r="B146" s="28">
        <f>SmtRes!I77</f>
      </c>
      <c r="C146" s="28" t="str">
        <f>SmtRes!K77</f>
        <v>автомобиль-самосвал-10 т</v>
      </c>
      <c r="D146" s="26" t="str">
        <f>SmtRes!O77</f>
        <v>маш.-ч</v>
      </c>
      <c r="E146" s="26">
        <f>SmtRes!Y77</f>
        <v>1.518</v>
      </c>
      <c r="F146" s="26">
        <f>SmtRes!Y77*Source!I37</f>
        <v>47.817</v>
      </c>
      <c r="G146" s="29">
        <f>(SmtRes!AA77+SmtRes!AB77+SmtRes!AD77)</f>
        <v>117.36</v>
      </c>
      <c r="H146" s="30">
        <f>(SmtRes!AA77*SmtRes!Y77*Source!I37+SmtRes!AB77*SmtRes!Y77*Source!I37+SmtRes!AD77*SmtRes!Y77*Source!I37)</f>
        <v>5611.80312</v>
      </c>
      <c r="I146" s="26"/>
      <c r="J146" s="30">
        <f>SmtRes!AB77*SmtRes!Y77*Source!I37</f>
        <v>5611.80312</v>
      </c>
      <c r="K146" s="30">
        <f>SmtRes!AC77*SmtRes!Y77*Source!I37</f>
        <v>0</v>
      </c>
      <c r="L146" s="26"/>
      <c r="M146" s="26"/>
      <c r="N146" s="27"/>
    </row>
    <row r="147" spans="1:14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ht="14.25">
      <c r="A148" s="111" t="s">
        <v>178</v>
      </c>
      <c r="B148" s="111"/>
      <c r="C148" s="111"/>
      <c r="D148" s="111"/>
      <c r="E148" s="111"/>
      <c r="F148" s="111"/>
      <c r="G148" s="111"/>
      <c r="H148" s="43">
        <f>IF(SUM(T1:T147)=0," ",SUM(T1:T147))</f>
        <v>1456456</v>
      </c>
      <c r="I148" s="43">
        <f>IF(SUM(V1:V147)=0," ",SUM(V1:V147))</f>
        <v>480163</v>
      </c>
      <c r="J148" s="43">
        <f>IF(SUM(W1:W147)=0," ",SUM(W1:W147))</f>
        <v>70662</v>
      </c>
      <c r="K148" s="43" t="str">
        <f>IF(SUM(X1:X147)=0," ",SUM(X1:X147))</f>
        <v> </v>
      </c>
      <c r="L148" s="43">
        <f>IF(SUM(U1:U147)=0," ",SUM(U1:U147))</f>
        <v>905631</v>
      </c>
      <c r="M148" s="43">
        <f>IF(SUM(Y1:Y147)=0," ",SUM(Y1:Y147))</f>
        <v>3244.6265909999997</v>
      </c>
      <c r="N148" s="43">
        <f>IF(SUM(Z1:Z147)=0," ",SUM(Z1:Z147))</f>
        <v>117.03379799999999</v>
      </c>
    </row>
    <row r="149" spans="1:34" ht="15">
      <c r="A149" s="112" t="str">
        <f>IF(Source!H76&lt;&gt;"",Source!H76,"")</f>
        <v>Эксплуатация машин</v>
      </c>
      <c r="B149" s="112"/>
      <c r="C149" s="112"/>
      <c r="D149" s="112"/>
      <c r="E149" s="112"/>
      <c r="F149" s="112"/>
      <c r="G149" s="112"/>
      <c r="H149" s="82">
        <f>J149</f>
        <v>70662</v>
      </c>
      <c r="I149" s="49"/>
      <c r="J149" s="45">
        <f>Source!F76</f>
        <v>70662</v>
      </c>
      <c r="K149" s="49"/>
      <c r="L149" s="49"/>
      <c r="M149" s="49"/>
      <c r="N149" s="49"/>
      <c r="AH149" s="46" t="s">
        <v>148</v>
      </c>
    </row>
    <row r="150" spans="1:34" ht="15">
      <c r="A150" s="112" t="str">
        <f>IF(Source!H78&lt;&gt;"",Source!H78,"")</f>
        <v>Основная ЗП рабочих</v>
      </c>
      <c r="B150" s="112"/>
      <c r="C150" s="112"/>
      <c r="D150" s="112"/>
      <c r="E150" s="112"/>
      <c r="F150" s="112"/>
      <c r="G150" s="112"/>
      <c r="H150" s="82">
        <f>I150</f>
        <v>480163</v>
      </c>
      <c r="I150" s="45">
        <f>Source!F78</f>
        <v>480163</v>
      </c>
      <c r="J150" s="49"/>
      <c r="K150" s="49"/>
      <c r="L150" s="49"/>
      <c r="M150" s="49"/>
      <c r="N150" s="49"/>
      <c r="AH150" s="46" t="s">
        <v>152</v>
      </c>
    </row>
    <row r="151" spans="1:34" ht="15">
      <c r="A151" s="112" t="str">
        <f>IF(Source!H86&lt;&gt;"",Source!H86,"")</f>
        <v>Накладные расходы</v>
      </c>
      <c r="B151" s="112"/>
      <c r="C151" s="112"/>
      <c r="D151" s="112"/>
      <c r="E151" s="112"/>
      <c r="F151" s="112"/>
      <c r="G151" s="112"/>
      <c r="H151" s="45">
        <f>Source!F86</f>
        <v>342301</v>
      </c>
      <c r="I151" s="49"/>
      <c r="J151" s="49"/>
      <c r="K151" s="49"/>
      <c r="L151" s="49"/>
      <c r="M151" s="49"/>
      <c r="N151" s="49"/>
      <c r="AH151" s="46" t="s">
        <v>168</v>
      </c>
    </row>
    <row r="152" spans="1:34" ht="15">
      <c r="A152" s="112" t="str">
        <f>IF(Source!H87&lt;&gt;"",Source!H87,"")</f>
        <v>Сметная прибыль</v>
      </c>
      <c r="B152" s="112"/>
      <c r="C152" s="112"/>
      <c r="D152" s="112"/>
      <c r="E152" s="112"/>
      <c r="F152" s="112"/>
      <c r="G152" s="112"/>
      <c r="H152" s="45">
        <f>Source!F87</f>
        <v>232892</v>
      </c>
      <c r="I152" s="49"/>
      <c r="J152" s="49"/>
      <c r="K152" s="49"/>
      <c r="L152" s="49"/>
      <c r="M152" s="49"/>
      <c r="N152" s="49"/>
      <c r="AH152" s="46" t="s">
        <v>170</v>
      </c>
    </row>
    <row r="153" spans="1:34" ht="15">
      <c r="A153" s="112" t="str">
        <f>IF(Source!H89&lt;&gt;"",Source!H89,"")</f>
        <v>Стоимость материальных ресурсов (всего)</v>
      </c>
      <c r="B153" s="112"/>
      <c r="C153" s="112"/>
      <c r="D153" s="112"/>
      <c r="E153" s="112"/>
      <c r="F153" s="112"/>
      <c r="G153" s="112"/>
      <c r="H153" s="82">
        <f>L153</f>
        <v>905631</v>
      </c>
      <c r="I153" s="49"/>
      <c r="J153" s="49"/>
      <c r="K153" s="49"/>
      <c r="L153" s="45">
        <f>Source!F89</f>
        <v>905631</v>
      </c>
      <c r="M153" s="49"/>
      <c r="N153" s="49"/>
      <c r="AH153" s="46" t="s">
        <v>130</v>
      </c>
    </row>
    <row r="154" spans="1:34" ht="15">
      <c r="A154" s="112" t="str">
        <f>IF(Source!H90&lt;&gt;"",Source!H90,"")</f>
        <v>Итого</v>
      </c>
      <c r="B154" s="112"/>
      <c r="C154" s="112"/>
      <c r="D154" s="112"/>
      <c r="E154" s="112"/>
      <c r="F154" s="112"/>
      <c r="G154" s="112"/>
      <c r="H154" s="45">
        <f>Source!F90</f>
        <v>1126018</v>
      </c>
      <c r="I154" s="49"/>
      <c r="J154" s="49"/>
      <c r="K154" s="49"/>
      <c r="L154" s="49"/>
      <c r="M154" s="49"/>
      <c r="N154" s="49"/>
      <c r="AH154" s="46" t="s">
        <v>174</v>
      </c>
    </row>
    <row r="155" spans="1:34" ht="15">
      <c r="A155" s="112" t="str">
        <f>IF(Source!H91&lt;&gt;"",Source!H91,"")</f>
        <v>Автотранспорт 7%</v>
      </c>
      <c r="B155" s="112"/>
      <c r="C155" s="112"/>
      <c r="D155" s="112"/>
      <c r="E155" s="112"/>
      <c r="F155" s="112"/>
      <c r="G155" s="112"/>
      <c r="H155" s="45">
        <f>Source!F91</f>
        <v>63394</v>
      </c>
      <c r="I155" s="49"/>
      <c r="J155" s="49"/>
      <c r="K155" s="49"/>
      <c r="L155" s="49"/>
      <c r="M155" s="49"/>
      <c r="N155" s="49"/>
      <c r="AH155" s="46" t="s">
        <v>176</v>
      </c>
    </row>
    <row r="156" spans="1:34" ht="15">
      <c r="A156" s="112" t="str">
        <f>IF(Source!H92&lt;&gt;"",Source!H92,"")</f>
        <v>Итого по смете</v>
      </c>
      <c r="B156" s="112"/>
      <c r="C156" s="112"/>
      <c r="D156" s="112"/>
      <c r="E156" s="112"/>
      <c r="F156" s="112"/>
      <c r="G156" s="112"/>
      <c r="H156" s="45">
        <f>Source!F92</f>
        <v>2095043</v>
      </c>
      <c r="I156" s="49"/>
      <c r="J156" s="49"/>
      <c r="K156" s="49"/>
      <c r="L156" s="49"/>
      <c r="M156" s="49"/>
      <c r="N156" s="49"/>
      <c r="AH156" s="46" t="s">
        <v>178</v>
      </c>
    </row>
    <row r="157" spans="1:34" ht="15">
      <c r="A157" s="112" t="str">
        <f>IF(Source!H93&lt;&gt;"",Source!H93,"")</f>
        <v>НДС 18%</v>
      </c>
      <c r="B157" s="112"/>
      <c r="C157" s="112"/>
      <c r="D157" s="112"/>
      <c r="E157" s="112"/>
      <c r="F157" s="112"/>
      <c r="G157" s="112"/>
      <c r="H157" s="45">
        <f>Source!F93</f>
        <v>377108</v>
      </c>
      <c r="I157" s="49"/>
      <c r="J157" s="49"/>
      <c r="K157" s="49"/>
      <c r="L157" s="49"/>
      <c r="M157" s="49"/>
      <c r="N157" s="49"/>
      <c r="AH157" s="46" t="s">
        <v>180</v>
      </c>
    </row>
    <row r="158" spans="1:34" s="80" customFormat="1" ht="14.25">
      <c r="A158" s="114" t="str">
        <f>IF(Source!H94&lt;&gt;"",Source!H94,"")</f>
        <v>Всего по смете</v>
      </c>
      <c r="B158" s="114"/>
      <c r="C158" s="114"/>
      <c r="D158" s="114"/>
      <c r="E158" s="114"/>
      <c r="F158" s="114"/>
      <c r="G158" s="114"/>
      <c r="H158" s="78">
        <f>Source!F94</f>
        <v>2472151</v>
      </c>
      <c r="I158" s="79"/>
      <c r="J158" s="79"/>
      <c r="K158" s="79"/>
      <c r="L158" s="79"/>
      <c r="M158" s="79"/>
      <c r="N158" s="79"/>
      <c r="AH158" s="81" t="s">
        <v>182</v>
      </c>
    </row>
    <row r="159" spans="1:14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</sheetData>
  <sheetProtection/>
  <mergeCells count="35">
    <mergeCell ref="H1:N1"/>
    <mergeCell ref="A153:G153"/>
    <mergeCell ref="A154:G154"/>
    <mergeCell ref="A155:G155"/>
    <mergeCell ref="A156:G156"/>
    <mergeCell ref="A157:G157"/>
    <mergeCell ref="A158:G158"/>
    <mergeCell ref="A148:G148"/>
    <mergeCell ref="A149:G149"/>
    <mergeCell ref="A150:G150"/>
    <mergeCell ref="A151:G151"/>
    <mergeCell ref="A152:G152"/>
    <mergeCell ref="B4:E4"/>
    <mergeCell ref="J4:N4"/>
    <mergeCell ref="B5:E5"/>
    <mergeCell ref="J5:N5"/>
    <mergeCell ref="M14:M16"/>
    <mergeCell ref="N14:N16"/>
    <mergeCell ref="E15:E16"/>
    <mergeCell ref="F15:F16"/>
    <mergeCell ref="G15:G16"/>
    <mergeCell ref="H15:H16"/>
    <mergeCell ref="I15:L15"/>
    <mergeCell ref="A14:A16"/>
    <mergeCell ref="B14:B16"/>
    <mergeCell ref="C14:C16"/>
    <mergeCell ref="D14:D16"/>
    <mergeCell ref="E14:F14"/>
    <mergeCell ref="G14:L14"/>
    <mergeCell ref="B11:M11"/>
    <mergeCell ref="A13:L13"/>
    <mergeCell ref="B6:E6"/>
    <mergeCell ref="J6:N6"/>
    <mergeCell ref="B7:E7"/>
    <mergeCell ref="J7:N7"/>
  </mergeCells>
  <printOptions/>
  <pageMargins left="0.4" right="0.2" top="0.2" bottom="0.4" header="0.2" footer="0.2"/>
  <pageSetup horizontalDpi="600" verticalDpi="600" orientation="landscape" paperSize="9" scale="7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t="s">
        <v>470</v>
      </c>
      <c r="B1" t="s">
        <v>471</v>
      </c>
      <c r="C1" t="s">
        <v>472</v>
      </c>
      <c r="D1" t="s">
        <v>473</v>
      </c>
      <c r="E1" t="s">
        <v>474</v>
      </c>
      <c r="F1" t="s">
        <v>475</v>
      </c>
      <c r="G1" t="s">
        <v>476</v>
      </c>
      <c r="H1" t="s">
        <v>477</v>
      </c>
      <c r="I1" t="s">
        <v>478</v>
      </c>
      <c r="J1" t="s">
        <v>479</v>
      </c>
    </row>
    <row r="2" spans="1:10" ht="12.75">
      <c r="A2">
        <v>1</v>
      </c>
      <c r="B2">
        <v>0</v>
      </c>
      <c r="C2">
        <v>0</v>
      </c>
      <c r="D2">
        <v>1</v>
      </c>
      <c r="E2">
        <v>1</v>
      </c>
      <c r="F2">
        <v>0</v>
      </c>
      <c r="G2">
        <v>0</v>
      </c>
      <c r="H2">
        <v>0</v>
      </c>
      <c r="I2">
        <v>0</v>
      </c>
      <c r="J2">
        <v>0</v>
      </c>
    </row>
    <row r="4" spans="1:17" ht="12.75">
      <c r="A4" t="s">
        <v>453</v>
      </c>
      <c r="B4" t="s">
        <v>454</v>
      </c>
      <c r="C4" t="s">
        <v>455</v>
      </c>
      <c r="D4" t="s">
        <v>456</v>
      </c>
      <c r="E4" t="s">
        <v>457</v>
      </c>
      <c r="F4" t="s">
        <v>458</v>
      </c>
      <c r="G4" t="s">
        <v>459</v>
      </c>
      <c r="H4" t="s">
        <v>460</v>
      </c>
      <c r="I4" t="s">
        <v>461</v>
      </c>
      <c r="J4" t="s">
        <v>462</v>
      </c>
      <c r="K4" t="s">
        <v>463</v>
      </c>
      <c r="L4" t="s">
        <v>464</v>
      </c>
      <c r="M4" t="s">
        <v>465</v>
      </c>
      <c r="N4" t="s">
        <v>466</v>
      </c>
      <c r="O4" t="s">
        <v>467</v>
      </c>
      <c r="P4" t="s">
        <v>468</v>
      </c>
      <c r="Q4" t="s">
        <v>469</v>
      </c>
    </row>
    <row r="6" spans="1:7" ht="12.75">
      <c r="A6">
        <f>Source!A20</f>
        <v>3</v>
      </c>
      <c r="B6">
        <v>20</v>
      </c>
      <c r="G6" t="str">
        <f>Source!G20</f>
        <v>Участок полов в корпусе № 15 цех 6 в осях (8-12) (Б-В)</v>
      </c>
    </row>
    <row r="7" spans="1:17" ht="12.75">
      <c r="A7">
        <f>Source!A26</f>
        <v>17</v>
      </c>
      <c r="C7">
        <v>3</v>
      </c>
      <c r="D7">
        <v>0</v>
      </c>
      <c r="E7">
        <f>SmtRes!AV12</f>
        <v>0</v>
      </c>
      <c r="F7" t="str">
        <f>SmtRes!I12</f>
        <v>113-0324</v>
      </c>
      <c r="G7" t="str">
        <f>SmtRes!K12</f>
        <v>Пленка полиэтиленовая толщиной 0,2-0,5 мм</v>
      </c>
      <c r="H7" t="str">
        <f>SmtRes!O12</f>
        <v>м2</v>
      </c>
      <c r="I7">
        <f>SmtRes!Y12*Source!I26</f>
        <v>199.3896</v>
      </c>
      <c r="J7">
        <f>SmtRes!AO12</f>
        <v>0</v>
      </c>
      <c r="K7">
        <f>SmtRes!AE12</f>
        <v>63.71</v>
      </c>
      <c r="L7">
        <f aca="true" t="shared" si="0" ref="L7:L30">I7*K7</f>
        <v>12703.111416</v>
      </c>
      <c r="M7">
        <f>SmtRes!AA12</f>
        <v>63.71</v>
      </c>
      <c r="N7">
        <f aca="true" t="shared" si="1" ref="N7:N30">I7*M7</f>
        <v>12703.111416</v>
      </c>
      <c r="O7">
        <f>SmtRes!X12</f>
        <v>261222830</v>
      </c>
      <c r="P7">
        <v>-1154852753</v>
      </c>
      <c r="Q7">
        <v>-1154852753</v>
      </c>
    </row>
    <row r="8" spans="1:17" ht="12.75">
      <c r="A8">
        <f>Source!A27</f>
        <v>17</v>
      </c>
      <c r="C8">
        <v>3</v>
      </c>
      <c r="D8">
        <v>0</v>
      </c>
      <c r="E8">
        <f>SmtRes!AV18</f>
        <v>0</v>
      </c>
      <c r="F8" t="str">
        <f>SmtRes!I18</f>
        <v>401-0046</v>
      </c>
      <c r="G8" t="str">
        <f>SmtRes!K18</f>
        <v>Бетон М 250</v>
      </c>
      <c r="H8" t="str">
        <f>SmtRes!O18</f>
        <v>м3</v>
      </c>
      <c r="I8">
        <f>SmtRes!Y18*Source!I27</f>
        <v>16.6158</v>
      </c>
      <c r="J8">
        <f>SmtRes!AO18</f>
        <v>0</v>
      </c>
      <c r="K8">
        <f>SmtRes!AE18</f>
        <v>4110.17</v>
      </c>
      <c r="L8">
        <f t="shared" si="0"/>
        <v>68293.762686</v>
      </c>
      <c r="M8">
        <f>SmtRes!AA18</f>
        <v>4110.17</v>
      </c>
      <c r="N8">
        <f t="shared" si="1"/>
        <v>68293.762686</v>
      </c>
      <c r="O8">
        <f>SmtRes!X18</f>
        <v>-1865239088</v>
      </c>
      <c r="P8">
        <v>8628494</v>
      </c>
      <c r="Q8">
        <v>8628494</v>
      </c>
    </row>
    <row r="9" spans="1:17" ht="12.75">
      <c r="A9">
        <f>Source!A27</f>
        <v>17</v>
      </c>
      <c r="C9">
        <v>3</v>
      </c>
      <c r="D9">
        <v>0</v>
      </c>
      <c r="E9">
        <f>SmtRes!AV17</f>
        <v>0</v>
      </c>
      <c r="F9" t="str">
        <f>SmtRes!I17</f>
        <v>102-0114</v>
      </c>
      <c r="G9" t="str">
        <f>SmtRes!K17</f>
        <v>Доски обрезные хвойных пород длиной 2-3,75 м, шириной 75-150 мм, толщиной 25 мм, IV сорта</v>
      </c>
      <c r="H9" t="str">
        <f>SmtRes!O17</f>
        <v>м3</v>
      </c>
      <c r="I9">
        <f>SmtRes!Y17*Source!I27</f>
        <v>0.09774</v>
      </c>
      <c r="J9">
        <f>SmtRes!AO17</f>
        <v>0</v>
      </c>
      <c r="K9">
        <f>SmtRes!AE17</f>
        <v>5508.47</v>
      </c>
      <c r="L9">
        <f t="shared" si="0"/>
        <v>538.3978578</v>
      </c>
      <c r="M9">
        <f>SmtRes!AA17</f>
        <v>5508.47</v>
      </c>
      <c r="N9">
        <f t="shared" si="1"/>
        <v>538.3978578</v>
      </c>
      <c r="O9">
        <f>SmtRes!X17</f>
        <v>-405691298</v>
      </c>
      <c r="P9">
        <v>1292842012</v>
      </c>
      <c r="Q9">
        <v>1292842012</v>
      </c>
    </row>
    <row r="10" spans="1:17" ht="12.75">
      <c r="A10">
        <f>Source!A27</f>
        <v>17</v>
      </c>
      <c r="C10">
        <v>3</v>
      </c>
      <c r="D10">
        <v>0</v>
      </c>
      <c r="E10">
        <f>SmtRes!AV16</f>
        <v>0</v>
      </c>
      <c r="F10">
        <f>SmtRes!I16</f>
      </c>
      <c r="G10" t="str">
        <f>SmtRes!K16</f>
        <v>Труба профильная 50*50*3</v>
      </c>
      <c r="H10" t="str">
        <f>SmtRes!O16</f>
        <v>т</v>
      </c>
      <c r="I10">
        <f>SmtRes!Y16*Source!I27</f>
        <v>0.22806</v>
      </c>
      <c r="J10">
        <f>SmtRes!AO16</f>
        <v>0</v>
      </c>
      <c r="K10">
        <f>SmtRes!AE16</f>
        <v>34745.76</v>
      </c>
      <c r="L10">
        <f t="shared" si="0"/>
        <v>7924.118025600001</v>
      </c>
      <c r="M10">
        <f>SmtRes!AA16</f>
        <v>34745.76</v>
      </c>
      <c r="N10">
        <f t="shared" si="1"/>
        <v>7924.118025600001</v>
      </c>
      <c r="O10">
        <f>SmtRes!X16</f>
        <v>2089251161</v>
      </c>
      <c r="P10">
        <v>-1297933527</v>
      </c>
      <c r="Q10">
        <v>-1297933527</v>
      </c>
    </row>
    <row r="11" spans="1:17" ht="12.75">
      <c r="A11">
        <f>Source!A29</f>
        <v>17</v>
      </c>
      <c r="C11">
        <v>3</v>
      </c>
      <c r="D11">
        <v>0</v>
      </c>
      <c r="E11">
        <f>SmtRes!AV30</f>
        <v>0</v>
      </c>
      <c r="F11" t="str">
        <f>SmtRes!I30</f>
        <v>101-2576</v>
      </c>
      <c r="G11" t="str">
        <f>SmtRes!K30</f>
        <v>Болты с гайками и шайбами для санитарно-технических работ диаметром 16 мм</v>
      </c>
      <c r="H11" t="str">
        <f>SmtRes!O30</f>
        <v>т</v>
      </c>
      <c r="I11">
        <f>SmtRes!Y30*Source!I29</f>
        <v>0.0001596</v>
      </c>
      <c r="J11">
        <f>SmtRes!AO30</f>
        <v>0</v>
      </c>
      <c r="K11">
        <f>SmtRes!AE30</f>
        <v>98305.08</v>
      </c>
      <c r="L11">
        <f t="shared" si="0"/>
        <v>15.689490768</v>
      </c>
      <c r="M11">
        <f>SmtRes!AA30</f>
        <v>98305.08</v>
      </c>
      <c r="N11">
        <f t="shared" si="1"/>
        <v>15.689490768</v>
      </c>
      <c r="O11">
        <f>SmtRes!X30</f>
        <v>1997723795</v>
      </c>
      <c r="P11">
        <v>1376463914</v>
      </c>
      <c r="Q11">
        <v>1376463914</v>
      </c>
    </row>
    <row r="12" spans="1:17" ht="12.75">
      <c r="A12">
        <f>Source!A29</f>
        <v>17</v>
      </c>
      <c r="C12">
        <v>3</v>
      </c>
      <c r="D12">
        <v>0</v>
      </c>
      <c r="E12">
        <f>SmtRes!AV29</f>
        <v>0</v>
      </c>
      <c r="F12">
        <f>SmtRes!I29</f>
      </c>
      <c r="G12" t="str">
        <f>SmtRes!K29</f>
        <v>Фланец 100-16 атм</v>
      </c>
      <c r="H12" t="str">
        <f>SmtRes!O29</f>
        <v>ШТ</v>
      </c>
      <c r="I12">
        <f>SmtRes!Y29*Source!I29</f>
        <v>4</v>
      </c>
      <c r="J12">
        <f>SmtRes!AO29</f>
        <v>0</v>
      </c>
      <c r="K12">
        <f>SmtRes!AE29</f>
        <v>436.44</v>
      </c>
      <c r="L12">
        <f t="shared" si="0"/>
        <v>1745.76</v>
      </c>
      <c r="M12">
        <f>SmtRes!AA29</f>
        <v>436.44</v>
      </c>
      <c r="N12">
        <f t="shared" si="1"/>
        <v>1745.76</v>
      </c>
      <c r="O12">
        <f>SmtRes!X29</f>
        <v>1675210813</v>
      </c>
      <c r="P12">
        <v>917961918</v>
      </c>
      <c r="Q12">
        <v>917961918</v>
      </c>
    </row>
    <row r="13" spans="1:17" ht="12.75">
      <c r="A13">
        <f>Source!A29</f>
        <v>17</v>
      </c>
      <c r="C13">
        <v>3</v>
      </c>
      <c r="D13">
        <v>0</v>
      </c>
      <c r="E13">
        <f>SmtRes!AV28</f>
        <v>0</v>
      </c>
      <c r="F13">
        <f>SmtRes!I28</f>
      </c>
      <c r="G13" t="str">
        <f>SmtRes!K28</f>
        <v>Труба ПНД</v>
      </c>
      <c r="H13" t="str">
        <f>SmtRes!O28</f>
        <v>м</v>
      </c>
      <c r="I13">
        <f>SmtRes!Y28*Source!I29</f>
        <v>5.9879999999999995</v>
      </c>
      <c r="J13">
        <f>SmtRes!AO28</f>
        <v>0</v>
      </c>
      <c r="K13">
        <f>SmtRes!AE28</f>
        <v>1010</v>
      </c>
      <c r="L13">
        <f t="shared" si="0"/>
        <v>6047.879999999999</v>
      </c>
      <c r="M13">
        <f>SmtRes!AA28</f>
        <v>1010</v>
      </c>
      <c r="N13">
        <f t="shared" si="1"/>
        <v>6047.879999999999</v>
      </c>
      <c r="O13">
        <f>SmtRes!X28</f>
        <v>-63923269</v>
      </c>
      <c r="P13">
        <v>1989919252</v>
      </c>
      <c r="Q13">
        <v>1989919252</v>
      </c>
    </row>
    <row r="14" spans="1:17" ht="12.75">
      <c r="A14">
        <f>Source!A29</f>
        <v>17</v>
      </c>
      <c r="C14">
        <v>3</v>
      </c>
      <c r="D14">
        <v>0</v>
      </c>
      <c r="E14">
        <f>SmtRes!AV27</f>
        <v>0</v>
      </c>
      <c r="F14">
        <f>SmtRes!I27</f>
      </c>
      <c r="G14" t="str">
        <f>SmtRes!K27</f>
        <v>Отвод ПЭ ф110 литой</v>
      </c>
      <c r="H14" t="str">
        <f>SmtRes!O27</f>
        <v>ШТ</v>
      </c>
      <c r="I14">
        <f>SmtRes!Y27*Source!I29</f>
        <v>4</v>
      </c>
      <c r="J14">
        <f>SmtRes!AO27</f>
        <v>0</v>
      </c>
      <c r="K14">
        <f>SmtRes!AE27</f>
        <v>762.71</v>
      </c>
      <c r="L14">
        <f t="shared" si="0"/>
        <v>3050.84</v>
      </c>
      <c r="M14">
        <f>SmtRes!AA27</f>
        <v>762.71</v>
      </c>
      <c r="N14">
        <f t="shared" si="1"/>
        <v>3050.84</v>
      </c>
      <c r="O14">
        <f>SmtRes!X27</f>
        <v>866194200</v>
      </c>
      <c r="P14">
        <v>-1191190519</v>
      </c>
      <c r="Q14">
        <v>-1191190519</v>
      </c>
    </row>
    <row r="15" spans="1:17" ht="12.75">
      <c r="A15">
        <f>Source!A30</f>
        <v>17</v>
      </c>
      <c r="C15">
        <v>3</v>
      </c>
      <c r="D15">
        <v>0</v>
      </c>
      <c r="E15">
        <f>SmtRes!AV35</f>
        <v>0</v>
      </c>
      <c r="F15" t="str">
        <f>SmtRes!I35</f>
        <v>301-9400</v>
      </c>
      <c r="G15" t="str">
        <f>SmtRes!K35</f>
        <v>Приборы санитарно-технические</v>
      </c>
      <c r="H15" t="str">
        <f>SmtRes!O35</f>
        <v>компл.</v>
      </c>
      <c r="I15">
        <f>SmtRes!Y35*Source!I30</f>
        <v>1</v>
      </c>
      <c r="J15">
        <f>SmtRes!AO35</f>
        <v>0</v>
      </c>
      <c r="K15">
        <f>SmtRes!AE35</f>
        <v>200</v>
      </c>
      <c r="L15">
        <f t="shared" si="0"/>
        <v>200</v>
      </c>
      <c r="M15">
        <f>SmtRes!AA35</f>
        <v>200</v>
      </c>
      <c r="N15">
        <f t="shared" si="1"/>
        <v>200</v>
      </c>
      <c r="O15">
        <f>SmtRes!X35</f>
        <v>-1462527913</v>
      </c>
      <c r="P15">
        <v>1288011457</v>
      </c>
      <c r="Q15">
        <v>1288011457</v>
      </c>
    </row>
    <row r="16" spans="1:17" ht="12.75">
      <c r="A16">
        <f>Source!A31</f>
        <v>17</v>
      </c>
      <c r="C16">
        <v>3</v>
      </c>
      <c r="D16">
        <v>0</v>
      </c>
      <c r="E16">
        <f>SmtRes!AV42</f>
        <v>0</v>
      </c>
      <c r="F16" t="str">
        <f>SmtRes!I42</f>
        <v>101-4163</v>
      </c>
      <c r="G16" t="str">
        <f>SmtRes!K42</f>
        <v>Грунтовка акриловая НОРТЕКС-ГРУНТ</v>
      </c>
      <c r="H16" t="str">
        <f>SmtRes!O42</f>
        <v>кг</v>
      </c>
      <c r="I16">
        <f>SmtRes!Y42*Source!I31</f>
        <v>23.82294</v>
      </c>
      <c r="J16">
        <f>SmtRes!AO42</f>
        <v>0</v>
      </c>
      <c r="K16">
        <f>SmtRes!AE42</f>
        <v>51.46</v>
      </c>
      <c r="L16">
        <f t="shared" si="0"/>
        <v>1225.9284923999999</v>
      </c>
      <c r="M16">
        <f>SmtRes!AA42</f>
        <v>51.46</v>
      </c>
      <c r="N16">
        <f t="shared" si="1"/>
        <v>1225.9284923999999</v>
      </c>
      <c r="O16">
        <f>SmtRes!X42</f>
        <v>-1249515419</v>
      </c>
      <c r="P16">
        <v>1116003545</v>
      </c>
      <c r="Q16">
        <v>1116003545</v>
      </c>
    </row>
    <row r="17" spans="1:17" ht="12.75">
      <c r="A17">
        <f>Source!A31</f>
        <v>17</v>
      </c>
      <c r="C17">
        <v>3</v>
      </c>
      <c r="D17">
        <v>0</v>
      </c>
      <c r="E17">
        <f>SmtRes!AV41</f>
        <v>0</v>
      </c>
      <c r="F17" t="str">
        <f>SmtRes!I41</f>
        <v>101-1757</v>
      </c>
      <c r="G17" t="str">
        <f>SmtRes!K41</f>
        <v>Ветошь</v>
      </c>
      <c r="H17" t="str">
        <f>SmtRes!O41</f>
        <v>кг</v>
      </c>
      <c r="I17">
        <f>SmtRes!Y41*Source!I31</f>
        <v>1.7263</v>
      </c>
      <c r="J17">
        <f>SmtRes!AO41</f>
        <v>0</v>
      </c>
      <c r="K17">
        <f>SmtRes!AE41</f>
        <v>52.82</v>
      </c>
      <c r="L17">
        <f t="shared" si="0"/>
        <v>91.183166</v>
      </c>
      <c r="M17">
        <f>SmtRes!AA41</f>
        <v>52.82</v>
      </c>
      <c r="N17">
        <f t="shared" si="1"/>
        <v>91.183166</v>
      </c>
      <c r="O17">
        <f>SmtRes!X41</f>
        <v>-294913766</v>
      </c>
      <c r="P17">
        <v>-771098301</v>
      </c>
      <c r="Q17">
        <v>-771098301</v>
      </c>
    </row>
    <row r="18" spans="1:17" ht="12.75">
      <c r="A18">
        <f>Source!A32</f>
        <v>17</v>
      </c>
      <c r="C18">
        <v>3</v>
      </c>
      <c r="D18">
        <v>0</v>
      </c>
      <c r="E18">
        <f>SmtRes!AV51</f>
        <v>0</v>
      </c>
      <c r="F18" t="str">
        <f>SmtRes!I51</f>
        <v>113-0360</v>
      </c>
      <c r="G18" t="str">
        <f>SmtRes!K51</f>
        <v>Пластины полиизобутиленовые ПСГ</v>
      </c>
      <c r="H18" t="str">
        <f>SmtRes!O51</f>
        <v>т</v>
      </c>
      <c r="I18">
        <f>SmtRes!Y51*Source!I32</f>
        <v>1.3344299</v>
      </c>
      <c r="J18">
        <f>SmtRes!AO51</f>
        <v>0</v>
      </c>
      <c r="K18">
        <f>SmtRes!AE51</f>
        <v>183264</v>
      </c>
      <c r="L18">
        <f t="shared" si="0"/>
        <v>244552.9611936</v>
      </c>
      <c r="M18">
        <f>SmtRes!AA51</f>
        <v>183264</v>
      </c>
      <c r="N18">
        <f t="shared" si="1"/>
        <v>244552.9611936</v>
      </c>
      <c r="O18">
        <f>SmtRes!X51</f>
        <v>-1238732844</v>
      </c>
      <c r="P18">
        <v>-445142656</v>
      </c>
      <c r="Q18">
        <v>-445142656</v>
      </c>
    </row>
    <row r="19" spans="1:17" ht="12.75">
      <c r="A19">
        <f>Source!A32</f>
        <v>17</v>
      </c>
      <c r="C19">
        <v>3</v>
      </c>
      <c r="D19">
        <v>0</v>
      </c>
      <c r="E19">
        <f>SmtRes!AV50</f>
        <v>0</v>
      </c>
      <c r="F19" t="str">
        <f>SmtRes!I50</f>
        <v>113-0264</v>
      </c>
      <c r="G19" t="str">
        <f>SmtRes!K50</f>
        <v>Эфир этиловый технический</v>
      </c>
      <c r="H19" t="str">
        <f>SmtRes!O50</f>
        <v>т</v>
      </c>
      <c r="I19">
        <f>SmtRes!Y50*Source!I32</f>
        <v>0.048336399999999995</v>
      </c>
      <c r="J19">
        <f>SmtRes!AO50</f>
        <v>0</v>
      </c>
      <c r="K19">
        <f>SmtRes!AE50</f>
        <v>81420</v>
      </c>
      <c r="L19">
        <f t="shared" si="0"/>
        <v>3935.5496879999996</v>
      </c>
      <c r="M19">
        <f>SmtRes!AA50</f>
        <v>81420</v>
      </c>
      <c r="N19">
        <f t="shared" si="1"/>
        <v>3935.5496879999996</v>
      </c>
      <c r="O19">
        <f>SmtRes!X50</f>
        <v>284443302</v>
      </c>
      <c r="P19">
        <v>-726019058</v>
      </c>
      <c r="Q19">
        <v>-726019058</v>
      </c>
    </row>
    <row r="20" spans="1:17" ht="12.75">
      <c r="A20">
        <f>Source!A32</f>
        <v>17</v>
      </c>
      <c r="C20">
        <v>3</v>
      </c>
      <c r="D20">
        <v>0</v>
      </c>
      <c r="E20">
        <f>SmtRes!AV49</f>
        <v>0</v>
      </c>
      <c r="F20" t="str">
        <f>SmtRes!I49</f>
        <v>101-0329</v>
      </c>
      <c r="G20" t="str">
        <f>SmtRes!K49</f>
        <v>Клей 88-СА</v>
      </c>
      <c r="H20" t="str">
        <f>SmtRes!O49</f>
        <v>кг</v>
      </c>
      <c r="I20">
        <f>SmtRes!Y49*Source!I32</f>
        <v>276.208</v>
      </c>
      <c r="J20">
        <f>SmtRes!AO49</f>
        <v>0</v>
      </c>
      <c r="K20">
        <f>SmtRes!AE49</f>
        <v>247.12</v>
      </c>
      <c r="L20">
        <f t="shared" si="0"/>
        <v>68256.52096000001</v>
      </c>
      <c r="M20">
        <f>SmtRes!AA49</f>
        <v>247.12</v>
      </c>
      <c r="N20">
        <f t="shared" si="1"/>
        <v>68256.52096000001</v>
      </c>
      <c r="O20">
        <f>SmtRes!X49</f>
        <v>1375923348</v>
      </c>
      <c r="P20">
        <v>1305610748</v>
      </c>
      <c r="Q20">
        <v>1305610748</v>
      </c>
    </row>
    <row r="21" spans="1:17" ht="12.75">
      <c r="A21">
        <f>Source!A32</f>
        <v>17</v>
      </c>
      <c r="C21">
        <v>3</v>
      </c>
      <c r="D21">
        <v>0</v>
      </c>
      <c r="E21">
        <f>SmtRes!AV48</f>
        <v>0</v>
      </c>
      <c r="F21" t="str">
        <f>SmtRes!I48</f>
        <v>101-0069</v>
      </c>
      <c r="G21" t="str">
        <f>SmtRes!K48</f>
        <v>Бензин авиационный Б-70</v>
      </c>
      <c r="H21" t="str">
        <f>SmtRes!O48</f>
        <v>т</v>
      </c>
      <c r="I21">
        <f>SmtRes!Y48*Source!I32</f>
        <v>0.0759572</v>
      </c>
      <c r="J21">
        <f>SmtRes!AO48</f>
        <v>0</v>
      </c>
      <c r="K21">
        <f>SmtRes!AE48</f>
        <v>39874.56</v>
      </c>
      <c r="L21">
        <f t="shared" si="0"/>
        <v>3028.759928832</v>
      </c>
      <c r="M21">
        <f>SmtRes!AA48</f>
        <v>39874.56</v>
      </c>
      <c r="N21">
        <f t="shared" si="1"/>
        <v>3028.759928832</v>
      </c>
      <c r="O21">
        <f>SmtRes!X48</f>
        <v>-1859422848</v>
      </c>
      <c r="P21">
        <v>-466895949</v>
      </c>
      <c r="Q21">
        <v>-466895949</v>
      </c>
    </row>
    <row r="22" spans="1:17" ht="12.75">
      <c r="A22">
        <f>Source!A33</f>
        <v>17</v>
      </c>
      <c r="C22">
        <v>3</v>
      </c>
      <c r="D22">
        <v>0</v>
      </c>
      <c r="E22">
        <f>SmtRes!AV62</f>
        <v>0</v>
      </c>
      <c r="F22" t="str">
        <f>SmtRes!I62</f>
        <v>113-0310</v>
      </c>
      <c r="G22" t="str">
        <f>SmtRes!K62</f>
        <v>Порошок № 2 для кислотоупорной замазки</v>
      </c>
      <c r="H22" t="str">
        <f>SmtRes!O62</f>
        <v>т</v>
      </c>
      <c r="I22">
        <f>SmtRes!Y62*Source!I33</f>
        <v>3.262707</v>
      </c>
      <c r="J22">
        <f>SmtRes!AO62</f>
        <v>0</v>
      </c>
      <c r="K22">
        <f>SmtRes!AE62</f>
        <v>16798.8</v>
      </c>
      <c r="L22">
        <f t="shared" si="0"/>
        <v>54809.5623516</v>
      </c>
      <c r="M22">
        <f>SmtRes!AA62</f>
        <v>16798.8</v>
      </c>
      <c r="N22">
        <f t="shared" si="1"/>
        <v>54809.5623516</v>
      </c>
      <c r="O22">
        <f>SmtRes!X62</f>
        <v>-494962278</v>
      </c>
      <c r="P22">
        <v>2034310201</v>
      </c>
      <c r="Q22">
        <v>2034310201</v>
      </c>
    </row>
    <row r="23" spans="1:17" ht="12.75">
      <c r="A23">
        <f>Source!A33</f>
        <v>17</v>
      </c>
      <c r="C23">
        <v>3</v>
      </c>
      <c r="D23">
        <v>0</v>
      </c>
      <c r="E23">
        <f>SmtRes!AV61</f>
        <v>0</v>
      </c>
      <c r="F23" t="str">
        <f>SmtRes!I61</f>
        <v>113-0132</v>
      </c>
      <c r="G23" t="str">
        <f>SmtRes!K61</f>
        <v>Плитки кислотоупорные шамотные квадратные и прямоугольные толщиной 35 мм</v>
      </c>
      <c r="H23" t="str">
        <f>SmtRes!O61</f>
        <v>м2</v>
      </c>
      <c r="I23">
        <f>SmtRes!Y61*Source!I33</f>
        <v>176.08259999999999</v>
      </c>
      <c r="J23">
        <f>SmtRes!AO61</f>
        <v>0</v>
      </c>
      <c r="K23">
        <f>SmtRes!AE61</f>
        <v>1758</v>
      </c>
      <c r="L23">
        <f t="shared" si="0"/>
        <v>309553.2108</v>
      </c>
      <c r="M23">
        <f>SmtRes!AA61</f>
        <v>1758</v>
      </c>
      <c r="N23">
        <f t="shared" si="1"/>
        <v>309553.2108</v>
      </c>
      <c r="O23">
        <f>SmtRes!X61</f>
        <v>-584050381</v>
      </c>
      <c r="P23">
        <v>-1529388494</v>
      </c>
      <c r="Q23">
        <v>-1529388494</v>
      </c>
    </row>
    <row r="24" spans="1:17" ht="12.75">
      <c r="A24">
        <f>Source!A33</f>
        <v>17</v>
      </c>
      <c r="C24">
        <v>3</v>
      </c>
      <c r="D24">
        <v>0</v>
      </c>
      <c r="E24">
        <f>SmtRes!AV60</f>
        <v>0</v>
      </c>
      <c r="F24" t="str">
        <f>SmtRes!I60</f>
        <v>101-2319</v>
      </c>
      <c r="G24" t="str">
        <f>SmtRes!K60</f>
        <v>Стекло натриевое жидкое каустическое</v>
      </c>
      <c r="H24" t="str">
        <f>SmtRes!O60</f>
        <v>т</v>
      </c>
      <c r="I24">
        <f>SmtRes!Y60*Source!I33</f>
        <v>1.4621761</v>
      </c>
      <c r="J24">
        <f>SmtRes!AO60</f>
        <v>0</v>
      </c>
      <c r="K24">
        <f>SmtRes!AE60</f>
        <v>37674</v>
      </c>
      <c r="L24">
        <f t="shared" si="0"/>
        <v>55086.0223914</v>
      </c>
      <c r="M24">
        <f>SmtRes!AA60</f>
        <v>37674</v>
      </c>
      <c r="N24">
        <f t="shared" si="1"/>
        <v>55086.0223914</v>
      </c>
      <c r="O24">
        <f>SmtRes!X60</f>
        <v>-463722913</v>
      </c>
      <c r="P24">
        <v>1808136864</v>
      </c>
      <c r="Q24">
        <v>1808136864</v>
      </c>
    </row>
    <row r="25" spans="1:17" ht="12.75">
      <c r="A25">
        <f>Source!A33</f>
        <v>17</v>
      </c>
      <c r="C25">
        <v>3</v>
      </c>
      <c r="D25">
        <v>0</v>
      </c>
      <c r="E25">
        <f>SmtRes!AV59</f>
        <v>0</v>
      </c>
      <c r="F25" t="str">
        <f>SmtRes!I59</f>
        <v>101-2313</v>
      </c>
      <c r="G25" t="str">
        <f>SmtRes!K59</f>
        <v>Натрий кремнефтористый технический, сорт I</v>
      </c>
      <c r="H25" t="str">
        <f>SmtRes!O59</f>
        <v>т</v>
      </c>
      <c r="I25">
        <f>SmtRes!Y59*Source!I33</f>
        <v>0.21924010000000002</v>
      </c>
      <c r="J25">
        <f>SmtRes!AO59</f>
        <v>0</v>
      </c>
      <c r="K25">
        <f>SmtRes!AE59</f>
        <v>49868.65</v>
      </c>
      <c r="L25">
        <f t="shared" si="0"/>
        <v>10933.207812865001</v>
      </c>
      <c r="M25">
        <f>SmtRes!AA59</f>
        <v>49868.65</v>
      </c>
      <c r="N25">
        <f t="shared" si="1"/>
        <v>10933.207812865001</v>
      </c>
      <c r="O25">
        <f>SmtRes!X59</f>
        <v>-1842594342</v>
      </c>
      <c r="P25">
        <v>852955383</v>
      </c>
      <c r="Q25">
        <v>852955383</v>
      </c>
    </row>
    <row r="26" spans="1:17" ht="12.75">
      <c r="A26">
        <f>Source!A34</f>
        <v>17</v>
      </c>
      <c r="C26">
        <v>3</v>
      </c>
      <c r="D26">
        <v>0</v>
      </c>
      <c r="E26">
        <f>SmtRes!AV72</f>
        <v>0</v>
      </c>
      <c r="F26" t="str">
        <f>SmtRes!I72</f>
        <v>113-0338</v>
      </c>
      <c r="G26" t="str">
        <f>SmtRes!K72</f>
        <v>Дибутилфталат технический, сорт I</v>
      </c>
      <c r="H26" t="str">
        <f>SmtRes!O72</f>
        <v>т</v>
      </c>
      <c r="I26">
        <f>SmtRes!Y72*Source!I34</f>
        <v>0.0086315</v>
      </c>
      <c r="J26">
        <f>SmtRes!AO72</f>
        <v>0</v>
      </c>
      <c r="K26">
        <f>SmtRes!AE72</f>
        <v>350700.9</v>
      </c>
      <c r="L26">
        <f t="shared" si="0"/>
        <v>3027.0748183500004</v>
      </c>
      <c r="M26">
        <f>SmtRes!AA72</f>
        <v>350700.9</v>
      </c>
      <c r="N26">
        <f t="shared" si="1"/>
        <v>3027.0748183500004</v>
      </c>
      <c r="O26">
        <f>SmtRes!X72</f>
        <v>-1951853478</v>
      </c>
      <c r="P26">
        <v>-721506892</v>
      </c>
      <c r="Q26">
        <v>-721506892</v>
      </c>
    </row>
    <row r="27" spans="1:17" ht="12.75">
      <c r="A27">
        <f>Source!A34</f>
        <v>17</v>
      </c>
      <c r="C27">
        <v>3</v>
      </c>
      <c r="D27">
        <v>0</v>
      </c>
      <c r="E27">
        <f>SmtRes!AV71</f>
        <v>0</v>
      </c>
      <c r="F27" t="str">
        <f>SmtRes!I71</f>
        <v>113-0310</v>
      </c>
      <c r="G27" t="str">
        <f>SmtRes!K71</f>
        <v>Порошок № 2 для кислотоупорной замазки</v>
      </c>
      <c r="H27" t="str">
        <f>SmtRes!O71</f>
        <v>т</v>
      </c>
      <c r="I27">
        <f>SmtRes!Y71*Source!I34</f>
        <v>0.0207156</v>
      </c>
      <c r="J27">
        <f>SmtRes!AO71</f>
        <v>0</v>
      </c>
      <c r="K27">
        <f>SmtRes!AE71</f>
        <v>16798.8</v>
      </c>
      <c r="L27">
        <f t="shared" si="0"/>
        <v>347.99722128</v>
      </c>
      <c r="M27">
        <f>SmtRes!AA71</f>
        <v>16798.8</v>
      </c>
      <c r="N27">
        <f t="shared" si="1"/>
        <v>347.99722128</v>
      </c>
      <c r="O27">
        <f>SmtRes!X71</f>
        <v>-494962278</v>
      </c>
      <c r="P27">
        <v>2034310201</v>
      </c>
      <c r="Q27">
        <v>2034310201</v>
      </c>
    </row>
    <row r="28" spans="1:17" ht="12.75">
      <c r="A28">
        <f>Source!A34</f>
        <v>17</v>
      </c>
      <c r="C28">
        <v>3</v>
      </c>
      <c r="D28">
        <v>0</v>
      </c>
      <c r="E28">
        <f>SmtRes!AV70</f>
        <v>0</v>
      </c>
      <c r="F28" t="str">
        <f>SmtRes!I70</f>
        <v>113-0163</v>
      </c>
      <c r="G28" t="str">
        <f>SmtRes!K70</f>
        <v>Смола эпоксидная марки ЭД-20</v>
      </c>
      <c r="H28" t="str">
        <f>SmtRes!O70</f>
        <v>т</v>
      </c>
      <c r="I28">
        <f>SmtRes!Y70*Source!I34</f>
        <v>0.086315</v>
      </c>
      <c r="J28">
        <f>SmtRes!AO70</f>
        <v>0</v>
      </c>
      <c r="K28">
        <f>SmtRes!AE70</f>
        <v>498000</v>
      </c>
      <c r="L28">
        <f t="shared" si="0"/>
        <v>42984.87</v>
      </c>
      <c r="M28">
        <f>SmtRes!AA70</f>
        <v>498000</v>
      </c>
      <c r="N28">
        <f t="shared" si="1"/>
        <v>42984.87</v>
      </c>
      <c r="O28">
        <f>SmtRes!X70</f>
        <v>-774022363</v>
      </c>
      <c r="P28">
        <v>2071368592</v>
      </c>
      <c r="Q28">
        <v>2071368592</v>
      </c>
    </row>
    <row r="29" spans="1:17" ht="12.75">
      <c r="A29">
        <f>Source!A34</f>
        <v>17</v>
      </c>
      <c r="C29">
        <v>3</v>
      </c>
      <c r="D29">
        <v>0</v>
      </c>
      <c r="E29">
        <f>SmtRes!AV69</f>
        <v>0</v>
      </c>
      <c r="F29" t="str">
        <f>SmtRes!I69</f>
        <v>113-0152</v>
      </c>
      <c r="G29" t="str">
        <f>SmtRes!K69</f>
        <v>Полиэтиленполиамин (ПЭПА) технический, марка А</v>
      </c>
      <c r="H29" t="str">
        <f>SmtRes!O69</f>
        <v>т</v>
      </c>
      <c r="I29">
        <f>SmtRes!Y69*Source!I34</f>
        <v>0.0086315</v>
      </c>
      <c r="J29">
        <f>SmtRes!AO69</f>
        <v>0</v>
      </c>
      <c r="K29">
        <f>SmtRes!AE69</f>
        <v>658043.5</v>
      </c>
      <c r="L29">
        <f t="shared" si="0"/>
        <v>5679.90247025</v>
      </c>
      <c r="M29">
        <f>SmtRes!AA69</f>
        <v>658043.5</v>
      </c>
      <c r="N29">
        <f t="shared" si="1"/>
        <v>5679.90247025</v>
      </c>
      <c r="O29">
        <f>SmtRes!X69</f>
        <v>-1188812599</v>
      </c>
      <c r="P29">
        <v>1220774517</v>
      </c>
      <c r="Q29">
        <v>1220774517</v>
      </c>
    </row>
    <row r="30" spans="1:17" ht="12.75">
      <c r="A30">
        <f>Source!A34</f>
        <v>17</v>
      </c>
      <c r="C30">
        <v>3</v>
      </c>
      <c r="D30">
        <v>0</v>
      </c>
      <c r="E30">
        <f>SmtRes!AV68</f>
        <v>0</v>
      </c>
      <c r="F30" t="str">
        <f>SmtRes!I68</f>
        <v>113-0003</v>
      </c>
      <c r="G30" t="str">
        <f>SmtRes!K68</f>
        <v>Ацетон технический, сорт I</v>
      </c>
      <c r="H30" t="str">
        <f>SmtRes!O68</f>
        <v>т</v>
      </c>
      <c r="I30">
        <f>SmtRes!Y68*Source!I34</f>
        <v>0.012084099999999999</v>
      </c>
      <c r="J30">
        <f>SmtRes!AO68</f>
        <v>0</v>
      </c>
      <c r="K30">
        <f>SmtRes!AE68</f>
        <v>132200</v>
      </c>
      <c r="L30">
        <f t="shared" si="0"/>
        <v>1597.5180199999998</v>
      </c>
      <c r="M30">
        <f>SmtRes!AA68</f>
        <v>132200</v>
      </c>
      <c r="N30">
        <f t="shared" si="1"/>
        <v>1597.5180199999998</v>
      </c>
      <c r="O30">
        <f>SmtRes!X68</f>
        <v>2016411689</v>
      </c>
      <c r="P30">
        <v>49952627</v>
      </c>
      <c r="Q30">
        <v>49952627</v>
      </c>
    </row>
    <row r="31" ht="12.75">
      <c r="A31">
        <v>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40.7109375" style="0" customWidth="1"/>
    <col min="3" max="6" width="12.7109375" style="0" customWidth="1"/>
    <col min="35" max="35" width="103.7109375" style="0" hidden="1" customWidth="1"/>
    <col min="36" max="37" width="0" style="0" hidden="1" customWidth="1"/>
  </cols>
  <sheetData>
    <row r="2" spans="1:35" ht="16.5">
      <c r="A2" s="115" t="s">
        <v>480</v>
      </c>
      <c r="B2" s="116"/>
      <c r="C2" s="116"/>
      <c r="D2" s="116"/>
      <c r="E2" s="116"/>
      <c r="F2" s="116"/>
      <c r="AI2" s="50" t="s">
        <v>480</v>
      </c>
    </row>
    <row r="3" spans="1:35" ht="16.5">
      <c r="A3" s="115" t="str">
        <f>CONCATENATE("Объект: ",IF(Source!G65&lt;&gt;"Новый объект",Source!G65,""))</f>
        <v>Объект: полы травление+мал гальваника</v>
      </c>
      <c r="B3" s="116"/>
      <c r="C3" s="116"/>
      <c r="D3" s="116"/>
      <c r="E3" s="116"/>
      <c r="F3" s="116"/>
      <c r="AI3" s="50" t="s">
        <v>481</v>
      </c>
    </row>
    <row r="4" spans="1:6" ht="12.75">
      <c r="A4" s="117" t="s">
        <v>482</v>
      </c>
      <c r="B4" s="117" t="s">
        <v>483</v>
      </c>
      <c r="C4" s="117" t="s">
        <v>409</v>
      </c>
      <c r="D4" s="117" t="s">
        <v>484</v>
      </c>
      <c r="E4" s="120" t="s">
        <v>485</v>
      </c>
      <c r="F4" s="121"/>
    </row>
    <row r="5" spans="1:6" ht="12.75">
      <c r="A5" s="118"/>
      <c r="B5" s="118"/>
      <c r="C5" s="118"/>
      <c r="D5" s="118"/>
      <c r="E5" s="122"/>
      <c r="F5" s="123"/>
    </row>
    <row r="6" spans="1:6" ht="15">
      <c r="A6" s="119"/>
      <c r="B6" s="119"/>
      <c r="C6" s="119"/>
      <c r="D6" s="119"/>
      <c r="E6" s="51" t="s">
        <v>486</v>
      </c>
      <c r="F6" s="51" t="s">
        <v>487</v>
      </c>
    </row>
    <row r="7" spans="1:6" ht="1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</row>
    <row r="8" spans="1:35" ht="16.5">
      <c r="A8" s="115" t="str">
        <f>CONCATENATE("Локальная смета: ",IF(Source!G22&lt;&gt;"Новая локальная смета",Source!G22,""))</f>
        <v>Локальная смета: Участок полов в корпусе № 15 цех 6 в осях (8-12) (Б-В)</v>
      </c>
      <c r="B8" s="116"/>
      <c r="C8" s="116"/>
      <c r="D8" s="116"/>
      <c r="E8" s="116"/>
      <c r="F8" s="116"/>
      <c r="AI8" s="50" t="s">
        <v>488</v>
      </c>
    </row>
    <row r="9" spans="1:6" ht="15">
      <c r="A9" s="111" t="s">
        <v>489</v>
      </c>
      <c r="B9" s="126"/>
      <c r="C9" s="126"/>
      <c r="D9" s="126"/>
      <c r="E9" s="126"/>
      <c r="F9" s="126"/>
    </row>
    <row r="10" spans="1:37" ht="15">
      <c r="A10" s="52" t="s">
        <v>3</v>
      </c>
      <c r="B10" s="44" t="s">
        <v>259</v>
      </c>
      <c r="C10" s="44" t="s">
        <v>115</v>
      </c>
      <c r="D10" s="53">
        <f>ROUND(SUMIF(RV_DATA!P7:RV_DATA!P30,-1297933527,RV_DATA!I7:RV_DATA!I30),6)</f>
        <v>0.22806</v>
      </c>
      <c r="E10" s="54">
        <f>SmtRes!AE16</f>
        <v>34745.76</v>
      </c>
      <c r="F10" s="54">
        <f>ROUND(SUMIF(RV_DATA!P7:RV_DATA!P30,-1297933527,RV_DATA!L7:RV_DATA!L30),6)</f>
        <v>7924.118026</v>
      </c>
      <c r="AK10">
        <v>3</v>
      </c>
    </row>
    <row r="11" spans="1:37" ht="15">
      <c r="A11" s="52" t="s">
        <v>3</v>
      </c>
      <c r="B11" s="44" t="s">
        <v>284</v>
      </c>
      <c r="C11" s="44" t="s">
        <v>281</v>
      </c>
      <c r="D11" s="53">
        <f>ROUND(SUMIF(RV_DATA!P7:RV_DATA!P30,917961918,RV_DATA!I7:RV_DATA!I30),6)</f>
        <v>4</v>
      </c>
      <c r="E11" s="54">
        <f>SmtRes!AE29</f>
        <v>436.44</v>
      </c>
      <c r="F11" s="54">
        <f>ROUND(SUMIF(RV_DATA!P7:RV_DATA!P30,917961918,RV_DATA!L7:RV_DATA!L30),6)</f>
        <v>1745.76</v>
      </c>
      <c r="AK11">
        <v>3</v>
      </c>
    </row>
    <row r="12" spans="1:37" ht="15">
      <c r="A12" s="52" t="s">
        <v>3</v>
      </c>
      <c r="B12" s="44" t="s">
        <v>282</v>
      </c>
      <c r="C12" s="44" t="s">
        <v>283</v>
      </c>
      <c r="D12" s="53">
        <f>ROUND(SUMIF(RV_DATA!P7:RV_DATA!P30,1989919252,RV_DATA!I7:RV_DATA!I30),6)</f>
        <v>5.988</v>
      </c>
      <c r="E12" s="54">
        <f>SmtRes!AE28</f>
        <v>1010</v>
      </c>
      <c r="F12" s="54">
        <f>ROUND(SUMIF(RV_DATA!P7:RV_DATA!P30,1989919252,RV_DATA!L7:RV_DATA!L30),6)</f>
        <v>6047.88</v>
      </c>
      <c r="AK12">
        <v>3</v>
      </c>
    </row>
    <row r="13" spans="1:37" ht="15">
      <c r="A13" s="52" t="s">
        <v>3</v>
      </c>
      <c r="B13" s="44" t="s">
        <v>280</v>
      </c>
      <c r="C13" s="44" t="s">
        <v>281</v>
      </c>
      <c r="D13" s="53">
        <f>ROUND(SUMIF(RV_DATA!P7:RV_DATA!P30,-1191190519,RV_DATA!I7:RV_DATA!I30),6)</f>
        <v>4</v>
      </c>
      <c r="E13" s="54">
        <f>SmtRes!AE27</f>
        <v>762.71</v>
      </c>
      <c r="F13" s="54">
        <f>ROUND(SUMIF(RV_DATA!P7:RV_DATA!P30,-1191190519,RV_DATA!L7:RV_DATA!L30),6)</f>
        <v>3050.84</v>
      </c>
      <c r="AK13">
        <v>3</v>
      </c>
    </row>
    <row r="14" spans="1:37" ht="15">
      <c r="A14" s="52" t="s">
        <v>320</v>
      </c>
      <c r="B14" s="44" t="s">
        <v>322</v>
      </c>
      <c r="C14" s="44" t="s">
        <v>115</v>
      </c>
      <c r="D14" s="53">
        <f>ROUND(SUMIF(RV_DATA!P7:RV_DATA!P30,-466895949,RV_DATA!I7:RV_DATA!I30),6)</f>
        <v>0.075957</v>
      </c>
      <c r="E14" s="54">
        <f>SmtRes!AE48</f>
        <v>39874.56</v>
      </c>
      <c r="F14" s="54">
        <f>ROUND(SUMIF(RV_DATA!P7:RV_DATA!P30,-466895949,RV_DATA!L7:RV_DATA!L30),6)</f>
        <v>3028.759929</v>
      </c>
      <c r="AK14">
        <v>3</v>
      </c>
    </row>
    <row r="15" spans="1:37" ht="15">
      <c r="A15" s="52" t="s">
        <v>323</v>
      </c>
      <c r="B15" s="44" t="s">
        <v>325</v>
      </c>
      <c r="C15" s="44" t="s">
        <v>308</v>
      </c>
      <c r="D15" s="53">
        <f>ROUND(SUMIF(RV_DATA!P7:RV_DATA!P30,1305610748,RV_DATA!I7:RV_DATA!I30),6)</f>
        <v>276.208</v>
      </c>
      <c r="E15" s="54">
        <f>SmtRes!AE49</f>
        <v>247.12</v>
      </c>
      <c r="F15" s="54">
        <f>ROUND(SUMIF(RV_DATA!P7:RV_DATA!P30,1305610748,RV_DATA!L7:RV_DATA!L30),6)</f>
        <v>68256.52096</v>
      </c>
      <c r="AK15">
        <v>3</v>
      </c>
    </row>
    <row r="16" spans="1:37" ht="15">
      <c r="A16" s="52" t="s">
        <v>305</v>
      </c>
      <c r="B16" s="44" t="s">
        <v>307</v>
      </c>
      <c r="C16" s="44" t="s">
        <v>308</v>
      </c>
      <c r="D16" s="53">
        <f>ROUND(SUMIF(RV_DATA!P7:RV_DATA!P30,-771098301,RV_DATA!I7:RV_DATA!I30),6)</f>
        <v>1.7263</v>
      </c>
      <c r="E16" s="54">
        <f>SmtRes!AE41</f>
        <v>52.82</v>
      </c>
      <c r="F16" s="54">
        <f>ROUND(SUMIF(RV_DATA!P7:RV_DATA!P30,-771098301,RV_DATA!L7:RV_DATA!L30),6)</f>
        <v>91.183166</v>
      </c>
      <c r="AK16">
        <v>3</v>
      </c>
    </row>
    <row r="17" spans="1:37" ht="30">
      <c r="A17" s="52" t="s">
        <v>340</v>
      </c>
      <c r="B17" s="44" t="s">
        <v>342</v>
      </c>
      <c r="C17" s="44" t="s">
        <v>115</v>
      </c>
      <c r="D17" s="53">
        <f>ROUND(SUMIF(RV_DATA!P7:RV_DATA!P30,852955383,RV_DATA!I7:RV_DATA!I30),6)</f>
        <v>0.21924</v>
      </c>
      <c r="E17" s="54">
        <f>SmtRes!AE59</f>
        <v>49868.65</v>
      </c>
      <c r="F17" s="54">
        <f>ROUND(SUMIF(RV_DATA!P7:RV_DATA!P30,852955383,RV_DATA!L7:RV_DATA!L30),6)</f>
        <v>10933.207813</v>
      </c>
      <c r="AK17">
        <v>3</v>
      </c>
    </row>
    <row r="18" spans="1:37" ht="15">
      <c r="A18" s="52" t="s">
        <v>343</v>
      </c>
      <c r="B18" s="44" t="s">
        <v>345</v>
      </c>
      <c r="C18" s="44" t="s">
        <v>115</v>
      </c>
      <c r="D18" s="53">
        <f>ROUND(SUMIF(RV_DATA!P7:RV_DATA!P30,1808136864,RV_DATA!I7:RV_DATA!I30),6)</f>
        <v>1.462176</v>
      </c>
      <c r="E18" s="54">
        <f>SmtRes!AE60</f>
        <v>37674</v>
      </c>
      <c r="F18" s="54">
        <f>ROUND(SUMIF(RV_DATA!P7:RV_DATA!P30,1808136864,RV_DATA!L7:RV_DATA!L30),6)</f>
        <v>55086.022391</v>
      </c>
      <c r="AK18">
        <v>3</v>
      </c>
    </row>
    <row r="19" spans="1:37" ht="30">
      <c r="A19" s="52" t="s">
        <v>285</v>
      </c>
      <c r="B19" s="44" t="s">
        <v>287</v>
      </c>
      <c r="C19" s="44" t="s">
        <v>115</v>
      </c>
      <c r="D19" s="53">
        <f>ROUND(SUMIF(RV_DATA!P7:RV_DATA!P30,1376463914,RV_DATA!I7:RV_DATA!I30),6)</f>
        <v>0.00016</v>
      </c>
      <c r="E19" s="54">
        <f>SmtRes!AE30</f>
        <v>98305.08</v>
      </c>
      <c r="F19" s="54">
        <f>ROUND(SUMIF(RV_DATA!P7:RV_DATA!P30,1376463914,RV_DATA!L7:RV_DATA!L30),6)</f>
        <v>15.689491</v>
      </c>
      <c r="AK19">
        <v>3</v>
      </c>
    </row>
    <row r="20" spans="1:37" ht="15">
      <c r="A20" s="52" t="s">
        <v>309</v>
      </c>
      <c r="B20" s="44" t="s">
        <v>311</v>
      </c>
      <c r="C20" s="44" t="s">
        <v>308</v>
      </c>
      <c r="D20" s="53">
        <f>ROUND(SUMIF(RV_DATA!P7:RV_DATA!P30,1116003545,RV_DATA!I7:RV_DATA!I30),6)</f>
        <v>23.82294</v>
      </c>
      <c r="E20" s="54">
        <f>SmtRes!AE42</f>
        <v>51.46</v>
      </c>
      <c r="F20" s="54">
        <f>ROUND(SUMIF(RV_DATA!P7:RV_DATA!P30,1116003545,RV_DATA!L7:RV_DATA!L30),6)</f>
        <v>1225.928492</v>
      </c>
      <c r="AK20">
        <v>3</v>
      </c>
    </row>
    <row r="21" spans="1:37" ht="45">
      <c r="A21" s="52" t="s">
        <v>260</v>
      </c>
      <c r="B21" s="44" t="s">
        <v>262</v>
      </c>
      <c r="C21" s="44" t="s">
        <v>263</v>
      </c>
      <c r="D21" s="53">
        <f>ROUND(SUMIF(RV_DATA!P7:RV_DATA!P30,1292842012,RV_DATA!I7:RV_DATA!I30),6)</f>
        <v>0.09774</v>
      </c>
      <c r="E21" s="54">
        <f>SmtRes!AE17</f>
        <v>5508.47</v>
      </c>
      <c r="F21" s="54">
        <f>ROUND(SUMIF(RV_DATA!P7:RV_DATA!P30,1292842012,RV_DATA!L7:RV_DATA!L30),6)</f>
        <v>538.397858</v>
      </c>
      <c r="AK21">
        <v>3</v>
      </c>
    </row>
    <row r="22" spans="1:37" ht="15">
      <c r="A22" s="52" t="s">
        <v>352</v>
      </c>
      <c r="B22" s="44" t="s">
        <v>354</v>
      </c>
      <c r="C22" s="44" t="s">
        <v>115</v>
      </c>
      <c r="D22" s="53">
        <f>ROUND(SUMIF(RV_DATA!P7:RV_DATA!P30,49952627,RV_DATA!I7:RV_DATA!I30),6)</f>
        <v>0.012084</v>
      </c>
      <c r="E22" s="54">
        <f>SmtRes!AE68</f>
        <v>132200</v>
      </c>
      <c r="F22" s="54">
        <f>ROUND(SUMIF(RV_DATA!P7:RV_DATA!P30,49952627,RV_DATA!L7:RV_DATA!L30),6)</f>
        <v>1597.51802</v>
      </c>
      <c r="AK22">
        <v>3</v>
      </c>
    </row>
    <row r="23" spans="1:37" ht="45">
      <c r="A23" s="52" t="s">
        <v>346</v>
      </c>
      <c r="B23" s="44" t="s">
        <v>348</v>
      </c>
      <c r="C23" s="44" t="s">
        <v>253</v>
      </c>
      <c r="D23" s="53">
        <f>ROUND(SUMIF(RV_DATA!P7:RV_DATA!P30,-1529388494,RV_DATA!I7:RV_DATA!I30),6)</f>
        <v>176.0826</v>
      </c>
      <c r="E23" s="54">
        <f>SmtRes!AE61</f>
        <v>1758</v>
      </c>
      <c r="F23" s="54">
        <f>ROUND(SUMIF(RV_DATA!P7:RV_DATA!P30,-1529388494,RV_DATA!L7:RV_DATA!L30),6)</f>
        <v>309553.2108</v>
      </c>
      <c r="AK23">
        <v>3</v>
      </c>
    </row>
    <row r="24" spans="1:37" ht="30">
      <c r="A24" s="52" t="s">
        <v>355</v>
      </c>
      <c r="B24" s="44" t="s">
        <v>357</v>
      </c>
      <c r="C24" s="44" t="s">
        <v>115</v>
      </c>
      <c r="D24" s="53">
        <f>ROUND(SUMIF(RV_DATA!P7:RV_DATA!P30,1220774517,RV_DATA!I7:RV_DATA!I30),6)</f>
        <v>0.008632</v>
      </c>
      <c r="E24" s="54">
        <f>SmtRes!AE69</f>
        <v>658043.5</v>
      </c>
      <c r="F24" s="54">
        <f>ROUND(SUMIF(RV_DATA!P7:RV_DATA!P30,1220774517,RV_DATA!L7:RV_DATA!L30),6)</f>
        <v>5679.90247</v>
      </c>
      <c r="AK24">
        <v>3</v>
      </c>
    </row>
    <row r="25" spans="1:37" ht="15">
      <c r="A25" s="52" t="s">
        <v>358</v>
      </c>
      <c r="B25" s="44" t="s">
        <v>360</v>
      </c>
      <c r="C25" s="44" t="s">
        <v>115</v>
      </c>
      <c r="D25" s="53">
        <f>ROUND(SUMIF(RV_DATA!P7:RV_DATA!P30,2071368592,RV_DATA!I7:RV_DATA!I30),6)</f>
        <v>0.086315</v>
      </c>
      <c r="E25" s="54">
        <f>SmtRes!AE70</f>
        <v>498000</v>
      </c>
      <c r="F25" s="54">
        <f>ROUND(SUMIF(RV_DATA!P7:RV_DATA!P30,2071368592,RV_DATA!L7:RV_DATA!L30),6)</f>
        <v>42984.87</v>
      </c>
      <c r="AK25">
        <v>3</v>
      </c>
    </row>
    <row r="26" spans="1:37" ht="15">
      <c r="A26" s="52" t="s">
        <v>326</v>
      </c>
      <c r="B26" s="44" t="s">
        <v>328</v>
      </c>
      <c r="C26" s="44" t="s">
        <v>115</v>
      </c>
      <c r="D26" s="53">
        <f>ROUND(SUMIF(RV_DATA!P7:RV_DATA!P30,-726019058,RV_DATA!I7:RV_DATA!I30),6)</f>
        <v>0.048336</v>
      </c>
      <c r="E26" s="54">
        <f>SmtRes!AE50</f>
        <v>81420</v>
      </c>
      <c r="F26" s="54">
        <f>ROUND(SUMIF(RV_DATA!P7:RV_DATA!P30,-726019058,RV_DATA!L7:RV_DATA!L30),6)</f>
        <v>3935.549688</v>
      </c>
      <c r="AK26">
        <v>3</v>
      </c>
    </row>
    <row r="27" spans="1:37" ht="15">
      <c r="A27" s="52" t="s">
        <v>349</v>
      </c>
      <c r="B27" s="44" t="s">
        <v>351</v>
      </c>
      <c r="C27" s="44" t="s">
        <v>115</v>
      </c>
      <c r="D27" s="53">
        <f>ROUND(SUMIF(RV_DATA!P7:RV_DATA!P30,2034310201,RV_DATA!I7:RV_DATA!I30),6)</f>
        <v>3.283423</v>
      </c>
      <c r="E27" s="54">
        <f>SmtRes!AE62</f>
        <v>16798.8</v>
      </c>
      <c r="F27" s="54">
        <f>ROUND(SUMIF(RV_DATA!P7:RV_DATA!P30,2034310201,RV_DATA!L7:RV_DATA!L30),6)</f>
        <v>55157.559573</v>
      </c>
      <c r="AK27">
        <v>3</v>
      </c>
    </row>
    <row r="28" spans="1:37" ht="30">
      <c r="A28" s="52" t="s">
        <v>250</v>
      </c>
      <c r="B28" s="44" t="s">
        <v>252</v>
      </c>
      <c r="C28" s="44" t="s">
        <v>253</v>
      </c>
      <c r="D28" s="53">
        <f>ROUND(SUMIF(RV_DATA!P7:RV_DATA!P30,-1154852753,RV_DATA!I7:RV_DATA!I30),6)</f>
        <v>199.3896</v>
      </c>
      <c r="E28" s="54">
        <f>SmtRes!AE12</f>
        <v>63.71</v>
      </c>
      <c r="F28" s="54">
        <f>ROUND(SUMIF(RV_DATA!P7:RV_DATA!P30,-1154852753,RV_DATA!L7:RV_DATA!L30),6)</f>
        <v>12703.111416</v>
      </c>
      <c r="AK28">
        <v>3</v>
      </c>
    </row>
    <row r="29" spans="1:37" ht="15">
      <c r="A29" s="52" t="s">
        <v>361</v>
      </c>
      <c r="B29" s="44" t="s">
        <v>363</v>
      </c>
      <c r="C29" s="44" t="s">
        <v>115</v>
      </c>
      <c r="D29" s="53">
        <f>ROUND(SUMIF(RV_DATA!P7:RV_DATA!P30,-721506892,RV_DATA!I7:RV_DATA!I30),6)</f>
        <v>0.008632</v>
      </c>
      <c r="E29" s="54">
        <f>SmtRes!AE72</f>
        <v>350700.9</v>
      </c>
      <c r="F29" s="54">
        <f>ROUND(SUMIF(RV_DATA!P7:RV_DATA!P30,-721506892,RV_DATA!L7:RV_DATA!L30),6)</f>
        <v>3027.074818</v>
      </c>
      <c r="AK29">
        <v>3</v>
      </c>
    </row>
    <row r="30" spans="1:37" ht="15">
      <c r="A30" s="52" t="s">
        <v>329</v>
      </c>
      <c r="B30" s="44" t="s">
        <v>331</v>
      </c>
      <c r="C30" s="44" t="s">
        <v>115</v>
      </c>
      <c r="D30" s="53">
        <f>ROUND(SUMIF(RV_DATA!P7:RV_DATA!P30,-445142656,RV_DATA!I7:RV_DATA!I30),6)</f>
        <v>1.33443</v>
      </c>
      <c r="E30" s="54">
        <f>SmtRes!AE51</f>
        <v>183264</v>
      </c>
      <c r="F30" s="54">
        <f>ROUND(SUMIF(RV_DATA!P7:RV_DATA!P30,-445142656,RV_DATA!L7:RV_DATA!L30),6)</f>
        <v>244552.961194</v>
      </c>
      <c r="AK30">
        <v>3</v>
      </c>
    </row>
    <row r="31" spans="1:37" ht="15">
      <c r="A31" s="52" t="s">
        <v>292</v>
      </c>
      <c r="B31" s="44" t="s">
        <v>294</v>
      </c>
      <c r="C31" s="44" t="s">
        <v>295</v>
      </c>
      <c r="D31" s="53">
        <f>ROUND(SUMIF(RV_DATA!P7:RV_DATA!P30,1288011457,RV_DATA!I7:RV_DATA!I30),6)</f>
        <v>1</v>
      </c>
      <c r="E31" s="54">
        <f>SmtRes!AE35</f>
        <v>200</v>
      </c>
      <c r="F31" s="54">
        <f>ROUND(SUMIF(RV_DATA!P7:RV_DATA!P30,1288011457,RV_DATA!L7:RV_DATA!L30),6)</f>
        <v>200</v>
      </c>
      <c r="AK31">
        <v>3</v>
      </c>
    </row>
    <row r="32" spans="1:37" ht="15">
      <c r="A32" s="52" t="s">
        <v>264</v>
      </c>
      <c r="B32" s="44" t="s">
        <v>266</v>
      </c>
      <c r="C32" s="44" t="s">
        <v>263</v>
      </c>
      <c r="D32" s="53">
        <f>ROUND(SUMIF(RV_DATA!P7:RV_DATA!P30,8628494,RV_DATA!I7:RV_DATA!I30),6)</f>
        <v>16.6158</v>
      </c>
      <c r="E32" s="54">
        <f>SmtRes!AE18</f>
        <v>4110.17</v>
      </c>
      <c r="F32" s="54">
        <f>ROUND(SUMIF(RV_DATA!P7:RV_DATA!P30,8628494,RV_DATA!L7:RV_DATA!L30),6)</f>
        <v>68293.762686</v>
      </c>
      <c r="AK32">
        <v>3</v>
      </c>
    </row>
    <row r="33" spans="1:6" ht="14.25">
      <c r="A33" s="124" t="s">
        <v>490</v>
      </c>
      <c r="B33" s="124"/>
      <c r="C33" s="124"/>
      <c r="D33" s="124"/>
      <c r="E33" s="125">
        <f>SUMIF(AK10:AK32,3,F10:F32)</f>
        <v>905629.828791</v>
      </c>
      <c r="F33" s="125"/>
    </row>
    <row r="35" spans="1:35" ht="16.5">
      <c r="A35" s="127" t="str">
        <f>CONCATENATE("Итого по объекту: ",IF(Source!G65&lt;&gt;"Новый объект",Source!G65,""))</f>
        <v>Итого по объекту: полы травление+мал гальваника</v>
      </c>
      <c r="B35" s="128"/>
      <c r="C35" s="128"/>
      <c r="D35" s="128"/>
      <c r="E35" s="128"/>
      <c r="F35" s="129"/>
      <c r="AI35" s="50" t="s">
        <v>491</v>
      </c>
    </row>
    <row r="36" spans="1:6" ht="14.25">
      <c r="A36" s="124" t="s">
        <v>490</v>
      </c>
      <c r="B36" s="124"/>
      <c r="C36" s="124"/>
      <c r="D36" s="124"/>
      <c r="E36" s="125">
        <f>SUMIF(AK1:AK35,3,F1:F35)</f>
        <v>905629.828791</v>
      </c>
      <c r="F36" s="125"/>
    </row>
    <row r="37" spans="1:6" ht="15" customHeight="1" hidden="1">
      <c r="A37" s="124" t="s">
        <v>492</v>
      </c>
      <c r="B37" s="124"/>
      <c r="C37" s="124"/>
      <c r="D37" s="124"/>
      <c r="E37" s="125">
        <f>SUMIF(AK1:AK36,4,F1:F36)</f>
        <v>0</v>
      </c>
      <c r="F37" s="125"/>
    </row>
  </sheetData>
  <sheetProtection/>
  <mergeCells count="16">
    <mergeCell ref="A37:D37"/>
    <mergeCell ref="E37:F37"/>
    <mergeCell ref="A8:F8"/>
    <mergeCell ref="A9:F9"/>
    <mergeCell ref="A33:D33"/>
    <mergeCell ref="E33:F33"/>
    <mergeCell ref="A35:F35"/>
    <mergeCell ref="A36:D36"/>
    <mergeCell ref="E36:F36"/>
    <mergeCell ref="A2:F2"/>
    <mergeCell ref="A3:F3"/>
    <mergeCell ref="A4:A6"/>
    <mergeCell ref="B4:B6"/>
    <mergeCell ref="C4:C6"/>
    <mergeCell ref="D4:D6"/>
    <mergeCell ref="E4:F5"/>
  </mergeCells>
  <printOptions/>
  <pageMargins left="0.6" right="0.4" top="0.65" bottom="0.4" header="0.4" footer="0.4"/>
  <pageSetup horizontalDpi="600" verticalDpi="600" orientation="portrait" paperSize="9" scale="96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75.7109375" style="0" customWidth="1"/>
    <col min="3" max="5" width="15.7109375" style="0" customWidth="1"/>
    <col min="30" max="30" width="114.7109375" style="0" customWidth="1"/>
    <col min="31" max="31" width="129.7109375" style="0" customWidth="1"/>
  </cols>
  <sheetData>
    <row r="1" spans="1:5" ht="14.25">
      <c r="A1" s="12"/>
      <c r="B1" s="12"/>
      <c r="C1" s="12"/>
      <c r="D1" s="12"/>
      <c r="E1" s="12"/>
    </row>
    <row r="2" spans="1:5" ht="15">
      <c r="A2" s="12"/>
      <c r="B2" s="12"/>
      <c r="C2" s="131" t="s">
        <v>493</v>
      </c>
      <c r="D2" s="131"/>
      <c r="E2" s="12"/>
    </row>
    <row r="3" spans="1:5" ht="15">
      <c r="A3" s="12"/>
      <c r="B3" s="12"/>
      <c r="C3" s="55"/>
      <c r="D3" s="55"/>
      <c r="E3" s="12"/>
    </row>
    <row r="4" spans="1:5" ht="15">
      <c r="A4" s="12"/>
      <c r="B4" s="12"/>
      <c r="C4" s="132"/>
      <c r="D4" s="132"/>
      <c r="E4" s="12"/>
    </row>
    <row r="5" spans="1:5" ht="15">
      <c r="A5" s="12"/>
      <c r="B5" s="12"/>
      <c r="C5" s="56"/>
      <c r="D5" s="56"/>
      <c r="E5" s="12"/>
    </row>
    <row r="6" spans="1:5" ht="15">
      <c r="A6" s="12"/>
      <c r="B6" s="12"/>
      <c r="C6" s="132"/>
      <c r="D6" s="132"/>
      <c r="E6" s="12"/>
    </row>
    <row r="7" spans="1:5" ht="15">
      <c r="A7" s="12"/>
      <c r="B7" s="12"/>
      <c r="C7" s="56"/>
      <c r="D7" s="56"/>
      <c r="E7" s="12"/>
    </row>
    <row r="8" spans="1:5" ht="15">
      <c r="A8" s="12"/>
      <c r="B8" s="131" t="s">
        <v>494</v>
      </c>
      <c r="C8" s="131"/>
      <c r="D8" s="57"/>
      <c r="E8" s="12"/>
    </row>
    <row r="9" spans="1:5" ht="14.25">
      <c r="A9" s="12"/>
      <c r="B9" s="12"/>
      <c r="C9" s="12"/>
      <c r="D9" s="12"/>
      <c r="E9" s="12"/>
    </row>
    <row r="10" spans="1:5" ht="14.25">
      <c r="A10" s="12"/>
      <c r="B10" s="12"/>
      <c r="C10" s="12"/>
      <c r="D10" s="12"/>
      <c r="E10" s="12"/>
    </row>
    <row r="11" spans="1:30" ht="15.75">
      <c r="A11" s="133" t="str">
        <f>CONCATENATE("Дефектный акт ",IF(Source!AN15&lt;&gt;"",Source!AN15," "))</f>
        <v>Дефектный акт  </v>
      </c>
      <c r="B11" s="133"/>
      <c r="C11" s="133"/>
      <c r="D11" s="133"/>
      <c r="E11" s="12"/>
      <c r="AD11" s="58" t="str">
        <f>CONCATENATE("Дефектный акт ",IF(Source!AN15&lt;&gt;"",Source!AN15," "))</f>
        <v>Дефектный акт  </v>
      </c>
    </row>
    <row r="12" spans="1:30" ht="15">
      <c r="A12" s="134" t="str">
        <f>CONCATENATE("На капитальный ремонт ",Source!F12)</f>
        <v>На капитальный ремонт Новый объект</v>
      </c>
      <c r="B12" s="134"/>
      <c r="C12" s="134"/>
      <c r="D12" s="134"/>
      <c r="E12" s="12"/>
      <c r="AD12" s="59" t="str">
        <f>CONCATENATE("На капитальный ремонт ",Source!F12)</f>
        <v>На капитальный ремонт Новый объект</v>
      </c>
    </row>
    <row r="13" spans="1:5" ht="14.25">
      <c r="A13" s="12"/>
      <c r="B13" s="12"/>
      <c r="C13" s="12"/>
      <c r="D13" s="12"/>
      <c r="E13" s="12"/>
    </row>
    <row r="14" spans="1:5" ht="15">
      <c r="A14" s="12"/>
      <c r="B14" s="60" t="s">
        <v>495</v>
      </c>
      <c r="C14" s="12"/>
      <c r="D14" s="12"/>
      <c r="E14" s="12"/>
    </row>
    <row r="15" spans="1:5" ht="15">
      <c r="A15" s="12"/>
      <c r="B15" s="60" t="s">
        <v>496</v>
      </c>
      <c r="C15" s="12"/>
      <c r="D15" s="12"/>
      <c r="E15" s="12"/>
    </row>
    <row r="16" spans="1:5" ht="15">
      <c r="A16" s="12"/>
      <c r="B16" s="60" t="s">
        <v>497</v>
      </c>
      <c r="C16" s="12"/>
      <c r="D16" s="12"/>
      <c r="E16" s="12"/>
    </row>
    <row r="17" spans="1:5" ht="28.5">
      <c r="A17" s="61" t="s">
        <v>406</v>
      </c>
      <c r="B17" s="61" t="s">
        <v>498</v>
      </c>
      <c r="C17" s="61" t="s">
        <v>409</v>
      </c>
      <c r="D17" s="61" t="s">
        <v>410</v>
      </c>
      <c r="E17" s="62" t="s">
        <v>499</v>
      </c>
    </row>
    <row r="18" spans="1:5" ht="14.25">
      <c r="A18" s="64">
        <v>1</v>
      </c>
      <c r="B18" s="64">
        <v>2</v>
      </c>
      <c r="C18" s="64">
        <v>3</v>
      </c>
      <c r="D18" s="64">
        <v>4</v>
      </c>
      <c r="E18" s="65">
        <v>5</v>
      </c>
    </row>
    <row r="19" spans="1:31" ht="16.5">
      <c r="A19" s="130" t="str">
        <f>CONCATENATE("Локальная смета: ",Source!G20)</f>
        <v>Локальная смета: Участок полов в корпусе № 15 цех 6 в осях (8-12) (Б-В)</v>
      </c>
      <c r="B19" s="130"/>
      <c r="C19" s="130"/>
      <c r="D19" s="130"/>
      <c r="E19" s="130"/>
      <c r="AE19" s="63" t="str">
        <f>CONCATENATE("Локальная смета: ",Source!G20)</f>
        <v>Локальная смета: Участок полов в корпусе № 15 цех 6 в осях (8-12) (Б-В)</v>
      </c>
    </row>
    <row r="20" spans="1:5" ht="42.75">
      <c r="A20" s="70" t="str">
        <f>Source!E24</f>
        <v>1</v>
      </c>
      <c r="B20" s="71" t="str">
        <f>Source!G24</f>
        <v>Разборка в зданиях и сооружения с агрессивными средами покрытий полов из кирпича, уложенного на битумной мастике или кислотоупорном растворе</v>
      </c>
      <c r="C20" s="72" t="str">
        <f>Source!H24</f>
        <v>100 м2 покрытия</v>
      </c>
      <c r="D20" s="73">
        <f>Source!I24</f>
        <v>1.7263</v>
      </c>
      <c r="E20" s="70"/>
    </row>
    <row r="21" spans="1:5" ht="28.5">
      <c r="A21" s="70" t="str">
        <f>Source!E25</f>
        <v>2</v>
      </c>
      <c r="B21" s="71" t="str">
        <f>Source!G25</f>
        <v>Разборка цементной стяжки.</v>
      </c>
      <c r="C21" s="72" t="str">
        <f>Source!H25</f>
        <v>100 м2 покрытия</v>
      </c>
      <c r="D21" s="73">
        <f>Source!I25</f>
        <v>1.629</v>
      </c>
      <c r="E21" s="70"/>
    </row>
    <row r="22" spans="1:5" ht="28.5">
      <c r="A22" s="70" t="str">
        <f>Source!E26</f>
        <v>4</v>
      </c>
      <c r="B22" s="71" t="str">
        <f>Source!G26</f>
        <v>Устройство гидроизоляции из полиэтиленовой пленки в один слой</v>
      </c>
      <c r="C22" s="72" t="str">
        <f>Source!H26</f>
        <v>100 м2 поверхности</v>
      </c>
      <c r="D22" s="73">
        <f>Source!I26</f>
        <v>1.629</v>
      </c>
      <c r="E22" s="70"/>
    </row>
    <row r="23" spans="1:5" ht="14.25">
      <c r="A23" s="70" t="str">
        <f>Source!E27</f>
        <v>6</v>
      </c>
      <c r="B23" s="71" t="str">
        <f>Source!G27</f>
        <v>Устройство полов бетонных толщиной 100 мм</v>
      </c>
      <c r="C23" s="72" t="str">
        <f>Source!H27</f>
        <v>100 м2 пола</v>
      </c>
      <c r="D23" s="73">
        <f>Source!I27</f>
        <v>1.629</v>
      </c>
      <c r="E23" s="70"/>
    </row>
    <row r="24" spans="1:5" ht="57">
      <c r="A24" s="70" t="str">
        <f>Source!E28</f>
        <v>7</v>
      </c>
      <c r="B24" s="71" t="str">
        <f>Source!G28</f>
        <v>Разборка трубопроводов из чугунных канализационных труб диаметром 100 мм</v>
      </c>
      <c r="C24" s="72" t="str">
        <f>Source!H28</f>
        <v>100 м трубопровода с фасонными частями</v>
      </c>
      <c r="D24" s="73">
        <f>Source!I28</f>
        <v>0.06</v>
      </c>
      <c r="E24" s="70"/>
    </row>
    <row r="25" spans="1:5" ht="28.5">
      <c r="A25" s="70" t="str">
        <f>Source!E29</f>
        <v>8</v>
      </c>
      <c r="B25" s="71" t="str">
        <f>Source!G29</f>
        <v>Прокладка трубопроводов канализации из полиэтиленовых труб высокой плотности диаметром 110 мм</v>
      </c>
      <c r="C25" s="72" t="str">
        <f>Source!H29</f>
        <v>100 м трубопровода</v>
      </c>
      <c r="D25" s="73">
        <f>Source!I29</f>
        <v>0.06</v>
      </c>
      <c r="E25" s="70"/>
    </row>
    <row r="26" spans="1:5" ht="14.25">
      <c r="A26" s="70" t="str">
        <f>Source!E30</f>
        <v>9</v>
      </c>
      <c r="B26" s="71" t="str">
        <f>Source!G30</f>
        <v>Смена трапов диаметром до 100 мм</v>
      </c>
      <c r="C26" s="72" t="str">
        <f>Source!H30</f>
        <v>100 приборов</v>
      </c>
      <c r="D26" s="73">
        <f>Source!I30</f>
        <v>0.01</v>
      </c>
      <c r="E26" s="70"/>
    </row>
    <row r="27" spans="1:5" ht="57">
      <c r="A27" s="70" t="str">
        <f>Source!E31</f>
        <v>10</v>
      </c>
      <c r="B27" s="71" t="str">
        <f>Source!G31</f>
        <v>Грунтование полов за 1 раз.</v>
      </c>
      <c r="C27" s="72" t="str">
        <f>Source!H31</f>
        <v>100 м2 обрабатываемой поверхности</v>
      </c>
      <c r="D27" s="73">
        <f>Source!I31</f>
        <v>1.7263</v>
      </c>
      <c r="E27" s="70"/>
    </row>
    <row r="28" spans="1:5" ht="42.75">
      <c r="A28" s="70" t="str">
        <f>Source!E32</f>
        <v>12</v>
      </c>
      <c r="B28" s="71" t="str">
        <f>Source!G32</f>
        <v>Оклейка бетонной поверхности полиизобутиленовыми пластинами толщиной 2,5 мм на клее 88-СА с пастой в 2 слоя</v>
      </c>
      <c r="C28" s="72" t="str">
        <f>Source!H32</f>
        <v>1 м2 оклеиваемой поверхности</v>
      </c>
      <c r="D28" s="73">
        <f>Source!I32</f>
        <v>172.63</v>
      </c>
      <c r="E28" s="70"/>
    </row>
    <row r="29" spans="1:5" ht="42.75">
      <c r="A29" s="70" t="str">
        <f>Source!E33</f>
        <v>13</v>
      </c>
      <c r="B29" s="71" t="str">
        <f>Source!G33</f>
        <v>Футеровка штучными кислотоупорными материалами на силикатной кислотоупорной замазке впустошовку плиткой кислотоупорной (керамической) толщиной 35 мм</v>
      </c>
      <c r="C29" s="72" t="str">
        <f>Source!H33</f>
        <v>1 м2 площади футеровки</v>
      </c>
      <c r="D29" s="73">
        <f>Source!I33</f>
        <v>172.63</v>
      </c>
      <c r="E29" s="70"/>
    </row>
    <row r="30" spans="1:5" ht="42.75">
      <c r="A30" s="70" t="str">
        <f>Source!E34</f>
        <v>14</v>
      </c>
      <c r="B30" s="71" t="str">
        <f>Source!G34</f>
        <v>Разделка швов футеровки эпоксидной замазкой при укладке плитки кислотоупорной керамической, глубина заполнения швов 15 мм</v>
      </c>
      <c r="C30" s="72" t="str">
        <f>Source!H34</f>
        <v>1 м2 разделываемой поверхности</v>
      </c>
      <c r="D30" s="73">
        <f>Source!I34</f>
        <v>172.63</v>
      </c>
      <c r="E30" s="70"/>
    </row>
    <row r="31" spans="1:5" ht="14.25">
      <c r="A31" s="70" t="str">
        <f>Source!E35</f>
        <v>15</v>
      </c>
      <c r="B31" s="71" t="str">
        <f>Source!G35</f>
        <v>Очистка помещений от строительного мусора</v>
      </c>
      <c r="C31" s="72" t="str">
        <f>Source!H35</f>
        <v>100 т мусора</v>
      </c>
      <c r="D31" s="73">
        <f>Source!I35</f>
        <v>0.315</v>
      </c>
      <c r="E31" s="70"/>
    </row>
    <row r="32" spans="1:5" ht="28.5">
      <c r="A32" s="70" t="str">
        <f>Source!E36</f>
        <v>16</v>
      </c>
      <c r="B32" s="71" t="str">
        <f>Source!G36</f>
        <v>Погрузка: Мусор   строительный   с   погрузкой   экскаваторами емкостью ковша до 0,5мЗ</v>
      </c>
      <c r="C32" s="72" t="str">
        <f>Source!H36</f>
        <v>т</v>
      </c>
      <c r="D32" s="73">
        <f>Source!I36</f>
        <v>31.5</v>
      </c>
      <c r="E32" s="70"/>
    </row>
    <row r="33" spans="1:5" ht="42.75">
      <c r="A33" s="66" t="str">
        <f>Source!E37</f>
        <v>17</v>
      </c>
      <c r="B33" s="67" t="str">
        <f>Source!G37</f>
        <v>Перевозка грузов автомобилями-самосвалами грузоподъёмностью 10 т. работающих вне карьера: расстояние перевозки 21 км. нормативное время пробега 1,518 час; класс груза 1</v>
      </c>
      <c r="C33" s="68" t="str">
        <f>Source!H37</f>
        <v>т</v>
      </c>
      <c r="D33" s="69">
        <f>Source!I37</f>
        <v>31.5</v>
      </c>
      <c r="E33" s="66"/>
    </row>
    <row r="36" spans="1:5" ht="15">
      <c r="A36" s="74" t="s">
        <v>500</v>
      </c>
      <c r="B36" s="74"/>
      <c r="C36" s="74" t="s">
        <v>501</v>
      </c>
      <c r="D36" s="74"/>
      <c r="E36" s="74"/>
    </row>
  </sheetData>
  <sheetProtection/>
  <mergeCells count="7">
    <mergeCell ref="A19:E19"/>
    <mergeCell ref="C2:D2"/>
    <mergeCell ref="C4:D4"/>
    <mergeCell ref="C6:D6"/>
    <mergeCell ref="B8:C8"/>
    <mergeCell ref="A11:D11"/>
    <mergeCell ref="A12:D12"/>
  </mergeCells>
  <printOptions/>
  <pageMargins left="0.4" right="0.2" top="0.2" bottom="0.4" header="0.2" footer="0.2"/>
  <pageSetup horizontalDpi="600" verticalDpi="600" orientation="portrait" paperSize="9" scale="75" r:id="rId1"/>
  <headerFooter>
    <oddHeader>&amp;L&amp;8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Q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40.7109375" style="0" customWidth="1"/>
    <col min="3" max="6" width="12.7109375" style="0" customWidth="1"/>
    <col min="15" max="15" width="103.7109375" style="0" hidden="1" customWidth="1"/>
    <col min="16" max="17" width="0" style="0" hidden="1" customWidth="1"/>
  </cols>
  <sheetData>
    <row r="2" spans="1:15" ht="16.5">
      <c r="A2" s="135" t="s">
        <v>480</v>
      </c>
      <c r="B2" s="136"/>
      <c r="C2" s="136"/>
      <c r="D2" s="136"/>
      <c r="E2" s="136"/>
      <c r="F2" s="136"/>
      <c r="O2" s="75" t="s">
        <v>480</v>
      </c>
    </row>
    <row r="3" spans="1:15" ht="16.5">
      <c r="A3" s="135" t="str">
        <f>CONCATENATE("Объект: ",IF(Source!G65&lt;&gt;"Новый объект",Source!G65,""))</f>
        <v>Объект: полы травление+мал гальваника</v>
      </c>
      <c r="B3" s="136"/>
      <c r="C3" s="136"/>
      <c r="D3" s="136"/>
      <c r="E3" s="136"/>
      <c r="F3" s="136"/>
      <c r="O3" s="75" t="s">
        <v>481</v>
      </c>
    </row>
    <row r="4" spans="1:6" ht="12.75">
      <c r="A4" s="137" t="s">
        <v>482</v>
      </c>
      <c r="B4" s="137" t="s">
        <v>483</v>
      </c>
      <c r="C4" s="137" t="s">
        <v>409</v>
      </c>
      <c r="D4" s="137" t="s">
        <v>484</v>
      </c>
      <c r="E4" s="140" t="s">
        <v>485</v>
      </c>
      <c r="F4" s="141"/>
    </row>
    <row r="5" spans="1:6" ht="12.75">
      <c r="A5" s="138"/>
      <c r="B5" s="138"/>
      <c r="C5" s="138"/>
      <c r="D5" s="138"/>
      <c r="E5" s="142"/>
      <c r="F5" s="143"/>
    </row>
    <row r="6" spans="1:6" ht="14.25">
      <c r="A6" s="139"/>
      <c r="B6" s="139"/>
      <c r="C6" s="139"/>
      <c r="D6" s="139"/>
      <c r="E6" s="61" t="s">
        <v>486</v>
      </c>
      <c r="F6" s="61" t="s">
        <v>487</v>
      </c>
    </row>
    <row r="7" spans="1:6" ht="14.2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</row>
    <row r="8" spans="1:15" ht="16.5">
      <c r="A8" s="135" t="str">
        <f>CONCATENATE("Локальная смета: ",IF(Source!G22&lt;&gt;"Новая локальная смета",Source!G22,""))</f>
        <v>Локальная смета: Участок полов в корпусе № 15 цех 6 в осях (8-12) (Б-В)</v>
      </c>
      <c r="B8" s="136"/>
      <c r="C8" s="136"/>
      <c r="D8" s="136"/>
      <c r="E8" s="136"/>
      <c r="F8" s="136"/>
      <c r="O8" s="75" t="s">
        <v>488</v>
      </c>
    </row>
    <row r="9" spans="1:6" ht="14.25">
      <c r="A9" s="146" t="s">
        <v>489</v>
      </c>
      <c r="B9" s="147"/>
      <c r="C9" s="147"/>
      <c r="D9" s="147"/>
      <c r="E9" s="147"/>
      <c r="F9" s="147"/>
    </row>
    <row r="10" spans="1:17" ht="14.25">
      <c r="A10" s="76" t="s">
        <v>3</v>
      </c>
      <c r="B10" s="67" t="s">
        <v>259</v>
      </c>
      <c r="C10" s="67" t="s">
        <v>115</v>
      </c>
      <c r="D10" s="68">
        <f>ROUND(SUMIF(RV_DATA!P7:RV_DATA!P30,-1297933527,RV_DATA!I7:RV_DATA!I30),6)</f>
        <v>0.22806</v>
      </c>
      <c r="E10" s="77">
        <f>SmtRes!AE16</f>
        <v>34745.76</v>
      </c>
      <c r="F10" s="77">
        <f>ROUND(SUMIF(RV_DATA!P7:RV_DATA!P30,-1297933527,RV_DATA!L7:RV_DATA!L30),6)</f>
        <v>7924.118026</v>
      </c>
      <c r="Q10">
        <v>3</v>
      </c>
    </row>
    <row r="11" spans="1:17" ht="14.25">
      <c r="A11" s="76" t="s">
        <v>3</v>
      </c>
      <c r="B11" s="67" t="s">
        <v>284</v>
      </c>
      <c r="C11" s="67" t="s">
        <v>281</v>
      </c>
      <c r="D11" s="68">
        <f>ROUND(SUMIF(RV_DATA!P7:RV_DATA!P30,917961918,RV_DATA!I7:RV_DATA!I30),6)</f>
        <v>4</v>
      </c>
      <c r="E11" s="77">
        <f>SmtRes!AE29</f>
        <v>436.44</v>
      </c>
      <c r="F11" s="77">
        <f>ROUND(SUMIF(RV_DATA!P7:RV_DATA!P30,917961918,RV_DATA!L7:RV_DATA!L30),6)</f>
        <v>1745.76</v>
      </c>
      <c r="Q11">
        <v>3</v>
      </c>
    </row>
    <row r="12" spans="1:17" ht="14.25">
      <c r="A12" s="76" t="s">
        <v>3</v>
      </c>
      <c r="B12" s="67" t="s">
        <v>282</v>
      </c>
      <c r="C12" s="67" t="s">
        <v>283</v>
      </c>
      <c r="D12" s="68">
        <f>ROUND(SUMIF(RV_DATA!P7:RV_DATA!P30,1989919252,RV_DATA!I7:RV_DATA!I30),6)</f>
        <v>5.988</v>
      </c>
      <c r="E12" s="77">
        <f>SmtRes!AE28</f>
        <v>1010</v>
      </c>
      <c r="F12" s="77">
        <f>ROUND(SUMIF(RV_DATA!P7:RV_DATA!P30,1989919252,RV_DATA!L7:RV_DATA!L30),6)</f>
        <v>6047.88</v>
      </c>
      <c r="Q12">
        <v>3</v>
      </c>
    </row>
    <row r="13" spans="1:17" ht="14.25">
      <c r="A13" s="76" t="s">
        <v>3</v>
      </c>
      <c r="B13" s="67" t="s">
        <v>280</v>
      </c>
      <c r="C13" s="67" t="s">
        <v>281</v>
      </c>
      <c r="D13" s="68">
        <f>ROUND(SUMIF(RV_DATA!P7:RV_DATA!P30,-1191190519,RV_DATA!I7:RV_DATA!I30),6)</f>
        <v>4</v>
      </c>
      <c r="E13" s="77">
        <f>SmtRes!AE27</f>
        <v>762.71</v>
      </c>
      <c r="F13" s="77">
        <f>ROUND(SUMIF(RV_DATA!P7:RV_DATA!P30,-1191190519,RV_DATA!L7:RV_DATA!L30),6)</f>
        <v>3050.84</v>
      </c>
      <c r="Q13">
        <v>3</v>
      </c>
    </row>
    <row r="14" spans="1:17" ht="14.25">
      <c r="A14" s="76" t="s">
        <v>320</v>
      </c>
      <c r="B14" s="67" t="s">
        <v>322</v>
      </c>
      <c r="C14" s="67" t="s">
        <v>115</v>
      </c>
      <c r="D14" s="68">
        <f>ROUND(SUMIF(RV_DATA!P7:RV_DATA!P30,-466895949,RV_DATA!I7:RV_DATA!I30),6)</f>
        <v>0.075957</v>
      </c>
      <c r="E14" s="77">
        <f>SmtRes!AE48</f>
        <v>39874.56</v>
      </c>
      <c r="F14" s="77">
        <f>ROUND(SUMIF(RV_DATA!P7:RV_DATA!P30,-466895949,RV_DATA!L7:RV_DATA!L30),6)</f>
        <v>3028.759929</v>
      </c>
      <c r="Q14">
        <v>3</v>
      </c>
    </row>
    <row r="15" spans="1:17" ht="14.25">
      <c r="A15" s="76" t="s">
        <v>323</v>
      </c>
      <c r="B15" s="67" t="s">
        <v>325</v>
      </c>
      <c r="C15" s="67" t="s">
        <v>308</v>
      </c>
      <c r="D15" s="68">
        <f>ROUND(SUMIF(RV_DATA!P7:RV_DATA!P30,1305610748,RV_DATA!I7:RV_DATA!I30),6)</f>
        <v>276.208</v>
      </c>
      <c r="E15" s="77">
        <f>SmtRes!AE49</f>
        <v>247.12</v>
      </c>
      <c r="F15" s="77">
        <f>ROUND(SUMIF(RV_DATA!P7:RV_DATA!P30,1305610748,RV_DATA!L7:RV_DATA!L30),6)</f>
        <v>68256.52096</v>
      </c>
      <c r="Q15">
        <v>3</v>
      </c>
    </row>
    <row r="16" spans="1:17" ht="14.25">
      <c r="A16" s="76" t="s">
        <v>305</v>
      </c>
      <c r="B16" s="67" t="s">
        <v>307</v>
      </c>
      <c r="C16" s="67" t="s">
        <v>308</v>
      </c>
      <c r="D16" s="68">
        <f>ROUND(SUMIF(RV_DATA!P7:RV_DATA!P30,-771098301,RV_DATA!I7:RV_DATA!I30),6)</f>
        <v>1.7263</v>
      </c>
      <c r="E16" s="77">
        <f>SmtRes!AE41</f>
        <v>52.82</v>
      </c>
      <c r="F16" s="77">
        <f>ROUND(SUMIF(RV_DATA!P7:RV_DATA!P30,-771098301,RV_DATA!L7:RV_DATA!L30),6)</f>
        <v>91.183166</v>
      </c>
      <c r="Q16">
        <v>3</v>
      </c>
    </row>
    <row r="17" spans="1:17" ht="28.5">
      <c r="A17" s="76" t="s">
        <v>340</v>
      </c>
      <c r="B17" s="67" t="s">
        <v>342</v>
      </c>
      <c r="C17" s="67" t="s">
        <v>115</v>
      </c>
      <c r="D17" s="68">
        <f>ROUND(SUMIF(RV_DATA!P7:RV_DATA!P30,852955383,RV_DATA!I7:RV_DATA!I30),6)</f>
        <v>0.21924</v>
      </c>
      <c r="E17" s="77">
        <f>SmtRes!AE59</f>
        <v>49868.65</v>
      </c>
      <c r="F17" s="77">
        <f>ROUND(SUMIF(RV_DATA!P7:RV_DATA!P30,852955383,RV_DATA!L7:RV_DATA!L30),6)</f>
        <v>10933.207813</v>
      </c>
      <c r="Q17">
        <v>3</v>
      </c>
    </row>
    <row r="18" spans="1:17" ht="28.5">
      <c r="A18" s="76" t="s">
        <v>343</v>
      </c>
      <c r="B18" s="67" t="s">
        <v>345</v>
      </c>
      <c r="C18" s="67" t="s">
        <v>115</v>
      </c>
      <c r="D18" s="68">
        <f>ROUND(SUMIF(RV_DATA!P7:RV_DATA!P30,1808136864,RV_DATA!I7:RV_DATA!I30),6)</f>
        <v>1.462176</v>
      </c>
      <c r="E18" s="77">
        <f>SmtRes!AE60</f>
        <v>37674</v>
      </c>
      <c r="F18" s="77">
        <f>ROUND(SUMIF(RV_DATA!P7:RV_DATA!P30,1808136864,RV_DATA!L7:RV_DATA!L30),6)</f>
        <v>55086.022391</v>
      </c>
      <c r="Q18">
        <v>3</v>
      </c>
    </row>
    <row r="19" spans="1:17" ht="42.75">
      <c r="A19" s="76" t="s">
        <v>285</v>
      </c>
      <c r="B19" s="67" t="s">
        <v>287</v>
      </c>
      <c r="C19" s="67" t="s">
        <v>115</v>
      </c>
      <c r="D19" s="68">
        <f>ROUND(SUMIF(RV_DATA!P7:RV_DATA!P30,1376463914,RV_DATA!I7:RV_DATA!I30),6)</f>
        <v>0.00016</v>
      </c>
      <c r="E19" s="77">
        <f>SmtRes!AE30</f>
        <v>98305.08</v>
      </c>
      <c r="F19" s="77">
        <f>ROUND(SUMIF(RV_DATA!P7:RV_DATA!P30,1376463914,RV_DATA!L7:RV_DATA!L30),6)</f>
        <v>15.689491</v>
      </c>
      <c r="Q19">
        <v>3</v>
      </c>
    </row>
    <row r="20" spans="1:17" ht="14.25">
      <c r="A20" s="76" t="s">
        <v>309</v>
      </c>
      <c r="B20" s="67" t="s">
        <v>311</v>
      </c>
      <c r="C20" s="67" t="s">
        <v>308</v>
      </c>
      <c r="D20" s="68">
        <f>ROUND(SUMIF(RV_DATA!P7:RV_DATA!P30,1116003545,RV_DATA!I7:RV_DATA!I30),6)</f>
        <v>23.82294</v>
      </c>
      <c r="E20" s="77">
        <f>SmtRes!AE42</f>
        <v>51.46</v>
      </c>
      <c r="F20" s="77">
        <f>ROUND(SUMIF(RV_DATA!P7:RV_DATA!P30,1116003545,RV_DATA!L7:RV_DATA!L30),6)</f>
        <v>1225.928492</v>
      </c>
      <c r="Q20">
        <v>3</v>
      </c>
    </row>
    <row r="21" spans="1:17" ht="42.75">
      <c r="A21" s="76" t="s">
        <v>260</v>
      </c>
      <c r="B21" s="67" t="s">
        <v>262</v>
      </c>
      <c r="C21" s="67" t="s">
        <v>263</v>
      </c>
      <c r="D21" s="68">
        <f>ROUND(SUMIF(RV_DATA!P7:RV_DATA!P30,1292842012,RV_DATA!I7:RV_DATA!I30),6)</f>
        <v>0.09774</v>
      </c>
      <c r="E21" s="77">
        <f>SmtRes!AE17</f>
        <v>5508.47</v>
      </c>
      <c r="F21" s="77">
        <f>ROUND(SUMIF(RV_DATA!P7:RV_DATA!P30,1292842012,RV_DATA!L7:RV_DATA!L30),6)</f>
        <v>538.397858</v>
      </c>
      <c r="Q21">
        <v>3</v>
      </c>
    </row>
    <row r="22" spans="1:17" ht="14.25">
      <c r="A22" s="76" t="s">
        <v>352</v>
      </c>
      <c r="B22" s="67" t="s">
        <v>354</v>
      </c>
      <c r="C22" s="67" t="s">
        <v>115</v>
      </c>
      <c r="D22" s="68">
        <f>ROUND(SUMIF(RV_DATA!P7:RV_DATA!P30,49952627,RV_DATA!I7:RV_DATA!I30),6)</f>
        <v>0.012084</v>
      </c>
      <c r="E22" s="77">
        <f>SmtRes!AE68</f>
        <v>132200</v>
      </c>
      <c r="F22" s="77">
        <f>ROUND(SUMIF(RV_DATA!P7:RV_DATA!P30,49952627,RV_DATA!L7:RV_DATA!L30),6)</f>
        <v>1597.51802</v>
      </c>
      <c r="Q22">
        <v>3</v>
      </c>
    </row>
    <row r="23" spans="1:17" ht="42.75">
      <c r="A23" s="76" t="s">
        <v>346</v>
      </c>
      <c r="B23" s="67" t="s">
        <v>348</v>
      </c>
      <c r="C23" s="67" t="s">
        <v>253</v>
      </c>
      <c r="D23" s="68">
        <f>ROUND(SUMIF(RV_DATA!P7:RV_DATA!P30,-1529388494,RV_DATA!I7:RV_DATA!I30),6)</f>
        <v>176.0826</v>
      </c>
      <c r="E23" s="77">
        <f>SmtRes!AE61</f>
        <v>1758</v>
      </c>
      <c r="F23" s="77">
        <f>ROUND(SUMIF(RV_DATA!P7:RV_DATA!P30,-1529388494,RV_DATA!L7:RV_DATA!L30),6)</f>
        <v>309553.2108</v>
      </c>
      <c r="Q23">
        <v>3</v>
      </c>
    </row>
    <row r="24" spans="1:17" ht="28.5">
      <c r="A24" s="76" t="s">
        <v>355</v>
      </c>
      <c r="B24" s="67" t="s">
        <v>357</v>
      </c>
      <c r="C24" s="67" t="s">
        <v>115</v>
      </c>
      <c r="D24" s="68">
        <f>ROUND(SUMIF(RV_DATA!P7:RV_DATA!P30,1220774517,RV_DATA!I7:RV_DATA!I30),6)</f>
        <v>0.008632</v>
      </c>
      <c r="E24" s="77">
        <f>SmtRes!AE69</f>
        <v>658043.5</v>
      </c>
      <c r="F24" s="77">
        <f>ROUND(SUMIF(RV_DATA!P7:RV_DATA!P30,1220774517,RV_DATA!L7:RV_DATA!L30),6)</f>
        <v>5679.90247</v>
      </c>
      <c r="Q24">
        <v>3</v>
      </c>
    </row>
    <row r="25" spans="1:17" ht="14.25">
      <c r="A25" s="76" t="s">
        <v>358</v>
      </c>
      <c r="B25" s="67" t="s">
        <v>360</v>
      </c>
      <c r="C25" s="67" t="s">
        <v>115</v>
      </c>
      <c r="D25" s="68">
        <f>ROUND(SUMIF(RV_DATA!P7:RV_DATA!P30,2071368592,RV_DATA!I7:RV_DATA!I30),6)</f>
        <v>0.086315</v>
      </c>
      <c r="E25" s="77">
        <f>SmtRes!AE70</f>
        <v>498000</v>
      </c>
      <c r="F25" s="77">
        <f>ROUND(SUMIF(RV_DATA!P7:RV_DATA!P30,2071368592,RV_DATA!L7:RV_DATA!L30),6)</f>
        <v>42984.87</v>
      </c>
      <c r="Q25">
        <v>3</v>
      </c>
    </row>
    <row r="26" spans="1:17" ht="14.25">
      <c r="A26" s="76" t="s">
        <v>326</v>
      </c>
      <c r="B26" s="67" t="s">
        <v>328</v>
      </c>
      <c r="C26" s="67" t="s">
        <v>115</v>
      </c>
      <c r="D26" s="68">
        <f>ROUND(SUMIF(RV_DATA!P7:RV_DATA!P30,-726019058,RV_DATA!I7:RV_DATA!I30),6)</f>
        <v>0.048336</v>
      </c>
      <c r="E26" s="77">
        <f>SmtRes!AE50</f>
        <v>81420</v>
      </c>
      <c r="F26" s="77">
        <f>ROUND(SUMIF(RV_DATA!P7:RV_DATA!P30,-726019058,RV_DATA!L7:RV_DATA!L30),6)</f>
        <v>3935.549688</v>
      </c>
      <c r="Q26">
        <v>3</v>
      </c>
    </row>
    <row r="27" spans="1:17" ht="28.5">
      <c r="A27" s="76" t="s">
        <v>349</v>
      </c>
      <c r="B27" s="67" t="s">
        <v>351</v>
      </c>
      <c r="C27" s="67" t="s">
        <v>115</v>
      </c>
      <c r="D27" s="68">
        <f>ROUND(SUMIF(RV_DATA!P7:RV_DATA!P30,2034310201,RV_DATA!I7:RV_DATA!I30),6)</f>
        <v>3.283423</v>
      </c>
      <c r="E27" s="77">
        <f>SmtRes!AE62</f>
        <v>16798.8</v>
      </c>
      <c r="F27" s="77">
        <f>ROUND(SUMIF(RV_DATA!P7:RV_DATA!P30,2034310201,RV_DATA!L7:RV_DATA!L30),6)</f>
        <v>55157.559573</v>
      </c>
      <c r="Q27">
        <v>3</v>
      </c>
    </row>
    <row r="28" spans="1:17" ht="28.5">
      <c r="A28" s="76" t="s">
        <v>250</v>
      </c>
      <c r="B28" s="67" t="s">
        <v>252</v>
      </c>
      <c r="C28" s="67" t="s">
        <v>253</v>
      </c>
      <c r="D28" s="68">
        <f>ROUND(SUMIF(RV_DATA!P7:RV_DATA!P30,-1154852753,RV_DATA!I7:RV_DATA!I30),6)</f>
        <v>199.3896</v>
      </c>
      <c r="E28" s="77">
        <f>SmtRes!AE12</f>
        <v>63.71</v>
      </c>
      <c r="F28" s="77">
        <f>ROUND(SUMIF(RV_DATA!P7:RV_DATA!P30,-1154852753,RV_DATA!L7:RV_DATA!L30),6)</f>
        <v>12703.111416</v>
      </c>
      <c r="Q28">
        <v>3</v>
      </c>
    </row>
    <row r="29" spans="1:17" ht="14.25">
      <c r="A29" s="76" t="s">
        <v>361</v>
      </c>
      <c r="B29" s="67" t="s">
        <v>363</v>
      </c>
      <c r="C29" s="67" t="s">
        <v>115</v>
      </c>
      <c r="D29" s="68">
        <f>ROUND(SUMIF(RV_DATA!P7:RV_DATA!P30,-721506892,RV_DATA!I7:RV_DATA!I30),6)</f>
        <v>0.008632</v>
      </c>
      <c r="E29" s="77">
        <f>SmtRes!AE72</f>
        <v>350700.9</v>
      </c>
      <c r="F29" s="77">
        <f>ROUND(SUMIF(RV_DATA!P7:RV_DATA!P30,-721506892,RV_DATA!L7:RV_DATA!L30),6)</f>
        <v>3027.074818</v>
      </c>
      <c r="Q29">
        <v>3</v>
      </c>
    </row>
    <row r="30" spans="1:17" ht="14.25">
      <c r="A30" s="76" t="s">
        <v>329</v>
      </c>
      <c r="B30" s="67" t="s">
        <v>331</v>
      </c>
      <c r="C30" s="67" t="s">
        <v>115</v>
      </c>
      <c r="D30" s="68">
        <f>ROUND(SUMIF(RV_DATA!P7:RV_DATA!P30,-445142656,RV_DATA!I7:RV_DATA!I30),6)</f>
        <v>1.33443</v>
      </c>
      <c r="E30" s="77">
        <f>SmtRes!AE51</f>
        <v>183264</v>
      </c>
      <c r="F30" s="77">
        <f>ROUND(SUMIF(RV_DATA!P7:RV_DATA!P30,-445142656,RV_DATA!L7:RV_DATA!L30),6)</f>
        <v>244552.961194</v>
      </c>
      <c r="Q30">
        <v>3</v>
      </c>
    </row>
    <row r="31" spans="1:17" ht="14.25">
      <c r="A31" s="76" t="s">
        <v>292</v>
      </c>
      <c r="B31" s="67" t="s">
        <v>294</v>
      </c>
      <c r="C31" s="67" t="s">
        <v>295</v>
      </c>
      <c r="D31" s="68">
        <f>ROUND(SUMIF(RV_DATA!P7:RV_DATA!P30,1288011457,RV_DATA!I7:RV_DATA!I30),6)</f>
        <v>1</v>
      </c>
      <c r="E31" s="77">
        <f>SmtRes!AE35</f>
        <v>200</v>
      </c>
      <c r="F31" s="77">
        <f>ROUND(SUMIF(RV_DATA!P7:RV_DATA!P30,1288011457,RV_DATA!L7:RV_DATA!L30),6)</f>
        <v>200</v>
      </c>
      <c r="Q31">
        <v>3</v>
      </c>
    </row>
    <row r="32" spans="1:17" ht="14.25">
      <c r="A32" s="76" t="s">
        <v>264</v>
      </c>
      <c r="B32" s="67" t="s">
        <v>266</v>
      </c>
      <c r="C32" s="67" t="s">
        <v>263</v>
      </c>
      <c r="D32" s="68">
        <f>ROUND(SUMIF(RV_DATA!P7:RV_DATA!P30,8628494,RV_DATA!I7:RV_DATA!I30),6)</f>
        <v>16.6158</v>
      </c>
      <c r="E32" s="77">
        <f>SmtRes!AE18</f>
        <v>4110.17</v>
      </c>
      <c r="F32" s="77">
        <f>ROUND(SUMIF(RV_DATA!P7:RV_DATA!P30,8628494,RV_DATA!L7:RV_DATA!L30),6)</f>
        <v>68293.762686</v>
      </c>
      <c r="Q32">
        <v>3</v>
      </c>
    </row>
    <row r="33" spans="1:6" ht="15">
      <c r="A33" s="144" t="s">
        <v>490</v>
      </c>
      <c r="B33" s="144"/>
      <c r="C33" s="144"/>
      <c r="D33" s="144"/>
      <c r="E33" s="145">
        <f>SUMIF(Q10:Q32,3,F10:F32)</f>
        <v>905629.828791</v>
      </c>
      <c r="F33" s="145"/>
    </row>
    <row r="35" spans="1:15" ht="16.5">
      <c r="A35" s="148" t="str">
        <f>CONCATENATE("Итого по объекту: ",IF(Source!G65&lt;&gt;"Новый объект",Source!G65,""))</f>
        <v>Итого по объекту: полы травление+мал гальваника</v>
      </c>
      <c r="B35" s="149"/>
      <c r="C35" s="149"/>
      <c r="D35" s="149"/>
      <c r="E35" s="149"/>
      <c r="F35" s="150"/>
      <c r="O35" s="75" t="s">
        <v>491</v>
      </c>
    </row>
    <row r="36" spans="1:6" ht="15">
      <c r="A36" s="144" t="s">
        <v>490</v>
      </c>
      <c r="B36" s="144"/>
      <c r="C36" s="144"/>
      <c r="D36" s="144"/>
      <c r="E36" s="145">
        <f>SUMIF(Q1:Q35,3,F1:F35)</f>
        <v>905629.828791</v>
      </c>
      <c r="F36" s="145"/>
    </row>
    <row r="37" spans="1:6" ht="14.25" customHeight="1" hidden="1">
      <c r="A37" s="144" t="s">
        <v>492</v>
      </c>
      <c r="B37" s="144"/>
      <c r="C37" s="144"/>
      <c r="D37" s="144"/>
      <c r="E37" s="145">
        <f>SUMIF(Q1:Q36,4,F1:F36)</f>
        <v>0</v>
      </c>
      <c r="F37" s="145"/>
    </row>
  </sheetData>
  <sheetProtection/>
  <mergeCells count="16">
    <mergeCell ref="A37:D37"/>
    <mergeCell ref="E37:F37"/>
    <mergeCell ref="A8:F8"/>
    <mergeCell ref="A9:F9"/>
    <mergeCell ref="A33:D33"/>
    <mergeCell ref="E33:F33"/>
    <mergeCell ref="A35:F35"/>
    <mergeCell ref="A36:D36"/>
    <mergeCell ref="E36:F36"/>
    <mergeCell ref="A2:F2"/>
    <mergeCell ref="A3:F3"/>
    <mergeCell ref="A4:A6"/>
    <mergeCell ref="B4:B6"/>
    <mergeCell ref="C4:C6"/>
    <mergeCell ref="D4:D6"/>
    <mergeCell ref="E4:F5"/>
  </mergeCells>
  <printOptions/>
  <pageMargins left="0.6" right="0.4" top="0.65" bottom="0.4" header="0.4" footer="0.4"/>
  <pageSetup horizontalDpi="600" verticalDpi="600" orientation="portrait" paperSize="9" scale="96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R119"/>
  <sheetViews>
    <sheetView zoomScalePageLayoutView="0" workbookViewId="0" topLeftCell="A1">
      <selection activeCell="A115" sqref="A115:O115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54746</v>
      </c>
      <c r="M1">
        <v>11</v>
      </c>
    </row>
    <row r="12" spans="1:133" ht="12.75">
      <c r="A12" s="1">
        <v>1</v>
      </c>
      <c r="B12" s="1">
        <v>115</v>
      </c>
      <c r="C12" s="1">
        <v>0</v>
      </c>
      <c r="D12" s="1">
        <f>ROW(A65)</f>
        <v>65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3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0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1</v>
      </c>
      <c r="BU12" s="1">
        <v>1</v>
      </c>
      <c r="BV12" s="1">
        <v>1</v>
      </c>
      <c r="BW12" s="1">
        <v>1</v>
      </c>
      <c r="BX12" s="1">
        <v>0</v>
      </c>
      <c r="BY12" s="1" t="s">
        <v>3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8712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118" ht="12.75">
      <c r="A18" s="2">
        <v>52</v>
      </c>
      <c r="B18" s="2">
        <f aca="true" t="shared" si="0" ref="B18:G18">B65</f>
        <v>115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полы травление+мал гальваника</v>
      </c>
      <c r="H18" s="2"/>
      <c r="I18" s="2"/>
      <c r="J18" s="2"/>
      <c r="K18" s="2"/>
      <c r="L18" s="2"/>
      <c r="M18" s="2"/>
      <c r="N18" s="2"/>
      <c r="O18" s="2">
        <f aca="true" t="shared" si="1" ref="O18:AT18">O65</f>
        <v>1456456</v>
      </c>
      <c r="P18" s="2">
        <f t="shared" si="1"/>
        <v>905631</v>
      </c>
      <c r="Q18" s="2">
        <f t="shared" si="1"/>
        <v>70662</v>
      </c>
      <c r="R18" s="2">
        <f t="shared" si="1"/>
        <v>0</v>
      </c>
      <c r="S18" s="2">
        <f t="shared" si="1"/>
        <v>480163</v>
      </c>
      <c r="T18" s="2">
        <f t="shared" si="1"/>
        <v>0</v>
      </c>
      <c r="U18" s="2">
        <f t="shared" si="1"/>
        <v>3244.62659086</v>
      </c>
      <c r="V18" s="2">
        <f t="shared" si="1"/>
        <v>117.0337975</v>
      </c>
      <c r="W18" s="2">
        <f t="shared" si="1"/>
        <v>0</v>
      </c>
      <c r="X18" s="2">
        <f t="shared" si="1"/>
        <v>342301</v>
      </c>
      <c r="Y18" s="2">
        <f t="shared" si="1"/>
        <v>232892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2031649</v>
      </c>
      <c r="AS18" s="2">
        <f t="shared" si="1"/>
        <v>2031649</v>
      </c>
      <c r="AT18" s="2">
        <f t="shared" si="1"/>
        <v>0</v>
      </c>
      <c r="AU18" s="2">
        <f aca="true" t="shared" si="2" ref="AU18:BZ18">AU65</f>
        <v>0</v>
      </c>
      <c r="AV18" s="2">
        <f t="shared" si="2"/>
        <v>905631</v>
      </c>
      <c r="AW18" s="2">
        <f t="shared" si="2"/>
        <v>905631</v>
      </c>
      <c r="AX18" s="2">
        <f t="shared" si="2"/>
        <v>0</v>
      </c>
      <c r="AY18" s="2">
        <f t="shared" si="2"/>
        <v>905631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aca="true" t="shared" si="3" ref="CA18:DF18">CA65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3">
        <f aca="true" t="shared" si="4" ref="DG18:DN18">DG65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</row>
    <row r="20" spans="1:88" ht="12.75">
      <c r="A20" s="1">
        <v>3</v>
      </c>
      <c r="B20" s="1">
        <v>1</v>
      </c>
      <c r="C20" s="1"/>
      <c r="D20" s="1">
        <f>ROW(A39)</f>
        <v>39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-1</v>
      </c>
      <c r="L20" s="1"/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118" ht="12.75">
      <c r="A22" s="2">
        <v>52</v>
      </c>
      <c r="B22" s="2">
        <f aca="true" t="shared" si="5" ref="B22:G22">B39</f>
        <v>1</v>
      </c>
      <c r="C22" s="2">
        <f t="shared" si="5"/>
        <v>3</v>
      </c>
      <c r="D22" s="2">
        <f t="shared" si="5"/>
        <v>20</v>
      </c>
      <c r="E22" s="2">
        <f t="shared" si="5"/>
        <v>0</v>
      </c>
      <c r="F22" s="2" t="str">
        <f t="shared" si="5"/>
        <v>Участок полов в корпусе № 15 цех 6 в осях (8-12) (Б-В)</v>
      </c>
      <c r="G22" s="2" t="str">
        <f t="shared" si="5"/>
        <v>Участок полов в корпусе № 15 цех 6 в осях (8-12) (Б-В)</v>
      </c>
      <c r="H22" s="2"/>
      <c r="I22" s="2"/>
      <c r="J22" s="2"/>
      <c r="K22" s="2"/>
      <c r="L22" s="2"/>
      <c r="M22" s="2"/>
      <c r="N22" s="2"/>
      <c r="O22" s="2">
        <f aca="true" t="shared" si="6" ref="O22:AT22">O39</f>
        <v>1456456</v>
      </c>
      <c r="P22" s="2">
        <f t="shared" si="6"/>
        <v>905631</v>
      </c>
      <c r="Q22" s="2">
        <f t="shared" si="6"/>
        <v>70662</v>
      </c>
      <c r="R22" s="2">
        <f t="shared" si="6"/>
        <v>0</v>
      </c>
      <c r="S22" s="2">
        <f t="shared" si="6"/>
        <v>480163</v>
      </c>
      <c r="T22" s="2">
        <f t="shared" si="6"/>
        <v>0</v>
      </c>
      <c r="U22" s="2">
        <f t="shared" si="6"/>
        <v>3244.62659086</v>
      </c>
      <c r="V22" s="2">
        <f t="shared" si="6"/>
        <v>117.0337975</v>
      </c>
      <c r="W22" s="2">
        <f t="shared" si="6"/>
        <v>0</v>
      </c>
      <c r="X22" s="2">
        <f t="shared" si="6"/>
        <v>342301</v>
      </c>
      <c r="Y22" s="2">
        <f t="shared" si="6"/>
        <v>232892</v>
      </c>
      <c r="Z22" s="2">
        <f t="shared" si="6"/>
        <v>0</v>
      </c>
      <c r="AA22" s="2">
        <f t="shared" si="6"/>
        <v>0</v>
      </c>
      <c r="AB22" s="2">
        <f t="shared" si="6"/>
        <v>1456456</v>
      </c>
      <c r="AC22" s="2">
        <f t="shared" si="6"/>
        <v>905631</v>
      </c>
      <c r="AD22" s="2">
        <f t="shared" si="6"/>
        <v>70662</v>
      </c>
      <c r="AE22" s="2">
        <f t="shared" si="6"/>
        <v>0</v>
      </c>
      <c r="AF22" s="2">
        <f t="shared" si="6"/>
        <v>480163</v>
      </c>
      <c r="AG22" s="2">
        <f t="shared" si="6"/>
        <v>0</v>
      </c>
      <c r="AH22" s="2">
        <f t="shared" si="6"/>
        <v>3244.62659086</v>
      </c>
      <c r="AI22" s="2">
        <f t="shared" si="6"/>
        <v>117.0337975</v>
      </c>
      <c r="AJ22" s="2">
        <f t="shared" si="6"/>
        <v>0</v>
      </c>
      <c r="AK22" s="2">
        <f t="shared" si="6"/>
        <v>342301</v>
      </c>
      <c r="AL22" s="2">
        <f t="shared" si="6"/>
        <v>232892</v>
      </c>
      <c r="AM22" s="2">
        <f t="shared" si="6"/>
        <v>0</v>
      </c>
      <c r="AN22" s="2">
        <f t="shared" si="6"/>
        <v>0</v>
      </c>
      <c r="AO22" s="2">
        <f t="shared" si="6"/>
        <v>0</v>
      </c>
      <c r="AP22" s="2">
        <f t="shared" si="6"/>
        <v>0</v>
      </c>
      <c r="AQ22" s="2">
        <f t="shared" si="6"/>
        <v>0</v>
      </c>
      <c r="AR22" s="2">
        <f t="shared" si="6"/>
        <v>2031649</v>
      </c>
      <c r="AS22" s="2">
        <f t="shared" si="6"/>
        <v>2031649</v>
      </c>
      <c r="AT22" s="2">
        <f t="shared" si="6"/>
        <v>0</v>
      </c>
      <c r="AU22" s="2">
        <f aca="true" t="shared" si="7" ref="AU22:BZ22">AU39</f>
        <v>0</v>
      </c>
      <c r="AV22" s="2">
        <f t="shared" si="7"/>
        <v>905631</v>
      </c>
      <c r="AW22" s="2">
        <f t="shared" si="7"/>
        <v>905631</v>
      </c>
      <c r="AX22" s="2">
        <f t="shared" si="7"/>
        <v>0</v>
      </c>
      <c r="AY22" s="2">
        <f t="shared" si="7"/>
        <v>905631</v>
      </c>
      <c r="AZ22" s="2">
        <f t="shared" si="7"/>
        <v>0</v>
      </c>
      <c r="BA22" s="2">
        <f t="shared" si="7"/>
        <v>0</v>
      </c>
      <c r="BB22" s="2">
        <f t="shared" si="7"/>
        <v>0</v>
      </c>
      <c r="BC22" s="2">
        <f t="shared" si="7"/>
        <v>0</v>
      </c>
      <c r="BD22" s="2">
        <f t="shared" si="7"/>
        <v>0</v>
      </c>
      <c r="BE22" s="2">
        <f t="shared" si="7"/>
        <v>2031649</v>
      </c>
      <c r="BF22" s="2">
        <f t="shared" si="7"/>
        <v>2031649</v>
      </c>
      <c r="BG22" s="2">
        <f t="shared" si="7"/>
        <v>0</v>
      </c>
      <c r="BH22" s="2">
        <f t="shared" si="7"/>
        <v>0</v>
      </c>
      <c r="BI22" s="2">
        <f t="shared" si="7"/>
        <v>905631</v>
      </c>
      <c r="BJ22" s="2">
        <f t="shared" si="7"/>
        <v>905631</v>
      </c>
      <c r="BK22" s="2">
        <f t="shared" si="7"/>
        <v>0</v>
      </c>
      <c r="BL22" s="2">
        <f t="shared" si="7"/>
        <v>905631</v>
      </c>
      <c r="BM22" s="2">
        <f t="shared" si="7"/>
        <v>0</v>
      </c>
      <c r="BN22" s="2">
        <f t="shared" si="7"/>
        <v>0</v>
      </c>
      <c r="BO22" s="3">
        <f t="shared" si="7"/>
        <v>0</v>
      </c>
      <c r="BP22" s="3">
        <f t="shared" si="7"/>
        <v>0</v>
      </c>
      <c r="BQ22" s="3">
        <f t="shared" si="7"/>
        <v>0</v>
      </c>
      <c r="BR22" s="3">
        <f t="shared" si="7"/>
        <v>0</v>
      </c>
      <c r="BS22" s="3">
        <f t="shared" si="7"/>
        <v>0</v>
      </c>
      <c r="BT22" s="3">
        <f t="shared" si="7"/>
        <v>0</v>
      </c>
      <c r="BU22" s="3">
        <f t="shared" si="7"/>
        <v>0</v>
      </c>
      <c r="BV22" s="3">
        <f t="shared" si="7"/>
        <v>0</v>
      </c>
      <c r="BW22" s="3">
        <f t="shared" si="7"/>
        <v>0</v>
      </c>
      <c r="BX22" s="3">
        <f t="shared" si="7"/>
        <v>0</v>
      </c>
      <c r="BY22" s="3">
        <f t="shared" si="7"/>
        <v>0</v>
      </c>
      <c r="BZ22" s="3">
        <f t="shared" si="7"/>
        <v>0</v>
      </c>
      <c r="CA22" s="3">
        <f aca="true" t="shared" si="8" ref="CA22:DF22">CA39</f>
        <v>0</v>
      </c>
      <c r="CB22" s="3">
        <f t="shared" si="8"/>
        <v>0</v>
      </c>
      <c r="CC22" s="3">
        <f t="shared" si="8"/>
        <v>0</v>
      </c>
      <c r="CD22" s="3">
        <f t="shared" si="8"/>
        <v>0</v>
      </c>
      <c r="CE22" s="3">
        <f t="shared" si="8"/>
        <v>0</v>
      </c>
      <c r="CF22" s="3">
        <f t="shared" si="8"/>
        <v>0</v>
      </c>
      <c r="CG22" s="3">
        <f t="shared" si="8"/>
        <v>0</v>
      </c>
      <c r="CH22" s="3">
        <f t="shared" si="8"/>
        <v>0</v>
      </c>
      <c r="CI22" s="3">
        <f t="shared" si="8"/>
        <v>0</v>
      </c>
      <c r="CJ22" s="3">
        <f t="shared" si="8"/>
        <v>0</v>
      </c>
      <c r="CK22" s="3">
        <f t="shared" si="8"/>
        <v>0</v>
      </c>
      <c r="CL22" s="3">
        <f t="shared" si="8"/>
        <v>0</v>
      </c>
      <c r="CM22" s="3">
        <f t="shared" si="8"/>
        <v>0</v>
      </c>
      <c r="CN22" s="3">
        <f t="shared" si="8"/>
        <v>0</v>
      </c>
      <c r="CO22" s="3">
        <f t="shared" si="8"/>
        <v>0</v>
      </c>
      <c r="CP22" s="3">
        <f t="shared" si="8"/>
        <v>0</v>
      </c>
      <c r="CQ22" s="3">
        <f t="shared" si="8"/>
        <v>0</v>
      </c>
      <c r="CR22" s="3">
        <f t="shared" si="8"/>
        <v>0</v>
      </c>
      <c r="CS22" s="3">
        <f t="shared" si="8"/>
        <v>0</v>
      </c>
      <c r="CT22" s="3">
        <f t="shared" si="8"/>
        <v>0</v>
      </c>
      <c r="CU22" s="3">
        <f t="shared" si="8"/>
        <v>0</v>
      </c>
      <c r="CV22" s="3">
        <f t="shared" si="8"/>
        <v>0</v>
      </c>
      <c r="CW22" s="3">
        <f t="shared" si="8"/>
        <v>0</v>
      </c>
      <c r="CX22" s="3">
        <f t="shared" si="8"/>
        <v>0</v>
      </c>
      <c r="CY22" s="3">
        <f t="shared" si="8"/>
        <v>0</v>
      </c>
      <c r="CZ22" s="3">
        <f t="shared" si="8"/>
        <v>0</v>
      </c>
      <c r="DA22" s="3">
        <f t="shared" si="8"/>
        <v>0</v>
      </c>
      <c r="DB22" s="3">
        <f t="shared" si="8"/>
        <v>0</v>
      </c>
      <c r="DC22" s="3">
        <f t="shared" si="8"/>
        <v>0</v>
      </c>
      <c r="DD22" s="3">
        <f t="shared" si="8"/>
        <v>0</v>
      </c>
      <c r="DE22" s="3">
        <f t="shared" si="8"/>
        <v>0</v>
      </c>
      <c r="DF22" s="3">
        <f t="shared" si="8"/>
        <v>0</v>
      </c>
      <c r="DG22" s="3">
        <f aca="true" t="shared" si="9" ref="DG22:DN22">DG39</f>
        <v>0</v>
      </c>
      <c r="DH22" s="3">
        <f t="shared" si="9"/>
        <v>0</v>
      </c>
      <c r="DI22" s="3">
        <f t="shared" si="9"/>
        <v>0</v>
      </c>
      <c r="DJ22" s="3">
        <f t="shared" si="9"/>
        <v>0</v>
      </c>
      <c r="DK22" s="3">
        <f t="shared" si="9"/>
        <v>0</v>
      </c>
      <c r="DL22" s="3">
        <f t="shared" si="9"/>
        <v>0</v>
      </c>
      <c r="DM22" s="3">
        <f t="shared" si="9"/>
        <v>0</v>
      </c>
      <c r="DN22" s="3">
        <f t="shared" si="9"/>
        <v>0</v>
      </c>
    </row>
    <row r="24" spans="1:200" ht="12.75">
      <c r="A24">
        <v>17</v>
      </c>
      <c r="B24">
        <v>1</v>
      </c>
      <c r="C24">
        <f>ROW(SmtRes!A4)</f>
        <v>4</v>
      </c>
      <c r="D24">
        <f>ROW(EtalonRes!A4)</f>
        <v>4</v>
      </c>
      <c r="E24" t="s">
        <v>12</v>
      </c>
      <c r="F24" t="s">
        <v>13</v>
      </c>
      <c r="G24" t="s">
        <v>14</v>
      </c>
      <c r="H24" t="s">
        <v>15</v>
      </c>
      <c r="I24">
        <v>1.7263</v>
      </c>
      <c r="J24">
        <v>0</v>
      </c>
      <c r="O24">
        <f aca="true" t="shared" si="10" ref="O24:O37">ROUND(CP24,0)</f>
        <v>38435</v>
      </c>
      <c r="P24">
        <f aca="true" t="shared" si="11" ref="P24:P37">ROUND(CQ24*I24,0)</f>
        <v>0</v>
      </c>
      <c r="Q24">
        <f aca="true" t="shared" si="12" ref="Q24:Q37">ROUND(CR24*I24,0)</f>
        <v>1814</v>
      </c>
      <c r="R24">
        <f aca="true" t="shared" si="13" ref="R24:R37">ROUND(CS24*I24,0)</f>
        <v>0</v>
      </c>
      <c r="S24">
        <f aca="true" t="shared" si="14" ref="S24:S37">ROUND(CT24*I24,0)</f>
        <v>36621</v>
      </c>
      <c r="T24">
        <f aca="true" t="shared" si="15" ref="T24:T37">ROUND(CU24*I24,0)</f>
        <v>0</v>
      </c>
      <c r="U24">
        <f aca="true" t="shared" si="16" ref="U24:U37">CV24*I24</f>
        <v>263.93400699999995</v>
      </c>
      <c r="V24">
        <f aca="true" t="shared" si="17" ref="V24:V37">CW24*I24</f>
        <v>3.297233</v>
      </c>
      <c r="W24">
        <f aca="true" t="shared" si="18" ref="W24:W37">ROUND(CX24*I24,0)</f>
        <v>0</v>
      </c>
      <c r="X24">
        <f aca="true" t="shared" si="19" ref="X24:X37">ROUND(CY24,0)</f>
        <v>34241</v>
      </c>
      <c r="Y24">
        <f aca="true" t="shared" si="20" ref="Y24:Y37">ROUND(CZ24,0)</f>
        <v>20508</v>
      </c>
      <c r="AA24">
        <v>26917020</v>
      </c>
      <c r="AB24">
        <f aca="true" t="shared" si="21" ref="AB24:AB37">ROUND((AC24+AD24+AF24),2)</f>
        <v>22264.58</v>
      </c>
      <c r="AC24">
        <f>ROUND((0),2)</f>
        <v>0</v>
      </c>
      <c r="AD24">
        <f>ROUND((SUM(SmtRes!BR1:SmtRes!BR4)),2)</f>
        <v>1051.09</v>
      </c>
      <c r="AE24">
        <f aca="true" t="shared" si="22" ref="AE24:AE37">ROUND((0),2)</f>
        <v>0</v>
      </c>
      <c r="AF24">
        <f>ROUND((SUM(SmtRes!BT1:SmtRes!BT4)),2)</f>
        <v>21213.49</v>
      </c>
      <c r="AG24">
        <f aca="true" t="shared" si="23" ref="AG24:AG37">ROUND((AP24),2)</f>
        <v>0</v>
      </c>
      <c r="AH24">
        <f>(SUM(SmtRes!BU1:SmtRes!BU4))</f>
        <v>152.89</v>
      </c>
      <c r="AI24">
        <f>(SUM(SmtRes!BV1:SmtRes!BV4))</f>
        <v>1.91</v>
      </c>
      <c r="AJ24">
        <f aca="true" t="shared" si="24" ref="AJ24:AJ37">ROUND((AS24),2)</f>
        <v>0</v>
      </c>
      <c r="AK24">
        <v>22264.579599999997</v>
      </c>
      <c r="AL24">
        <v>0</v>
      </c>
      <c r="AM24">
        <v>1051.0920999999998</v>
      </c>
      <c r="AN24">
        <v>0</v>
      </c>
      <c r="AO24">
        <v>21213.4875</v>
      </c>
      <c r="AP24">
        <v>0</v>
      </c>
      <c r="AQ24">
        <v>152.89</v>
      </c>
      <c r="AR24">
        <v>1.91</v>
      </c>
      <c r="AS24">
        <v>0</v>
      </c>
      <c r="AT24">
        <v>93.5</v>
      </c>
      <c r="AU24">
        <v>56</v>
      </c>
      <c r="AV24">
        <v>1</v>
      </c>
      <c r="AW24">
        <v>1</v>
      </c>
      <c r="AZ24">
        <v>1</v>
      </c>
      <c r="BA24">
        <v>1</v>
      </c>
      <c r="BB24">
        <v>1</v>
      </c>
      <c r="BC24">
        <v>1</v>
      </c>
      <c r="BH24">
        <v>0</v>
      </c>
      <c r="BI24">
        <v>1</v>
      </c>
      <c r="BJ24" t="s">
        <v>16</v>
      </c>
      <c r="BM24">
        <v>46001</v>
      </c>
      <c r="BN24">
        <v>0</v>
      </c>
      <c r="BP24">
        <v>0</v>
      </c>
      <c r="BQ24">
        <v>2</v>
      </c>
      <c r="BR24">
        <v>0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110</v>
      </c>
      <c r="CA24">
        <v>70</v>
      </c>
      <c r="CF24">
        <v>0</v>
      </c>
      <c r="CG24">
        <v>0</v>
      </c>
      <c r="CM24">
        <v>0</v>
      </c>
      <c r="CO24">
        <v>0</v>
      </c>
      <c r="CP24">
        <f aca="true" t="shared" si="25" ref="CP24:CP37">(P24+Q24+S24)</f>
        <v>38435</v>
      </c>
      <c r="CQ24">
        <f aca="true" t="shared" si="26" ref="CQ24:CQ37">AC24*BC24</f>
        <v>0</v>
      </c>
      <c r="CR24">
        <f aca="true" t="shared" si="27" ref="CR24:CR37">AD24*BB24</f>
        <v>1051.09</v>
      </c>
      <c r="CS24">
        <f aca="true" t="shared" si="28" ref="CS24:CS37">AE24*BS24</f>
        <v>0</v>
      </c>
      <c r="CT24">
        <f aca="true" t="shared" si="29" ref="CT24:CT37">AF24*BA24</f>
        <v>21213.49</v>
      </c>
      <c r="CU24">
        <f aca="true" t="shared" si="30" ref="CU24:CU37">AG24</f>
        <v>0</v>
      </c>
      <c r="CV24">
        <f aca="true" t="shared" si="31" ref="CV24:CV37">AH24</f>
        <v>152.89</v>
      </c>
      <c r="CW24">
        <f aca="true" t="shared" si="32" ref="CW24:CW37">AI24</f>
        <v>1.91</v>
      </c>
      <c r="CX24">
        <f aca="true" t="shared" si="33" ref="CX24:CX37">AJ24</f>
        <v>0</v>
      </c>
      <c r="CY24">
        <f aca="true" t="shared" si="34" ref="CY24:CY35">((S24+R24)*(ROUND((FX24*IF(0,(IF(0,0.94,0.85)*IF(0,0.85,1)),1)),IF(0,0,2))/100))</f>
        <v>34240.635</v>
      </c>
      <c r="CZ24">
        <f aca="true" t="shared" si="35" ref="CZ24:CZ35">((S24+R24)*(ROUND((FY24*IF(0,0.8,1)),IF(0,0,2))/100))</f>
        <v>20507.760000000002</v>
      </c>
      <c r="DL24" t="s">
        <v>17</v>
      </c>
      <c r="DM24" t="s">
        <v>18</v>
      </c>
      <c r="DN24">
        <v>0</v>
      </c>
      <c r="DO24">
        <v>0</v>
      </c>
      <c r="DP24">
        <v>1</v>
      </c>
      <c r="DQ24">
        <v>1</v>
      </c>
      <c r="DU24">
        <v>1013</v>
      </c>
      <c r="DV24" t="s">
        <v>15</v>
      </c>
      <c r="DW24" t="s">
        <v>15</v>
      </c>
      <c r="DX24">
        <v>1</v>
      </c>
      <c r="EE24">
        <v>25701113</v>
      </c>
      <c r="EF24">
        <v>2</v>
      </c>
      <c r="EG24" t="s">
        <v>19</v>
      </c>
      <c r="EH24">
        <v>0</v>
      </c>
      <c r="EJ24">
        <v>1</v>
      </c>
      <c r="EK24">
        <v>46001</v>
      </c>
      <c r="EL24" t="s">
        <v>20</v>
      </c>
      <c r="EM24" t="s">
        <v>21</v>
      </c>
      <c r="EQ24">
        <v>0</v>
      </c>
      <c r="ER24">
        <v>1614.91</v>
      </c>
      <c r="ES24">
        <v>0</v>
      </c>
      <c r="ET24">
        <v>177.74</v>
      </c>
      <c r="EU24">
        <v>19.21</v>
      </c>
      <c r="EV24">
        <v>1437.17</v>
      </c>
      <c r="EW24">
        <v>152.89</v>
      </c>
      <c r="EX24">
        <v>1.91</v>
      </c>
      <c r="EY24">
        <v>0</v>
      </c>
      <c r="FQ24">
        <v>0</v>
      </c>
      <c r="FR24">
        <f aca="true" t="shared" si="36" ref="FR24:FR37">ROUND(IF(AND(BH24=3,BI24=3),P24,0),0)</f>
        <v>0</v>
      </c>
      <c r="FS24">
        <v>0</v>
      </c>
      <c r="FU24" t="s">
        <v>22</v>
      </c>
      <c r="FX24">
        <v>93.5</v>
      </c>
      <c r="FY24">
        <v>56</v>
      </c>
      <c r="GF24">
        <v>1432617318</v>
      </c>
      <c r="GG24">
        <v>2</v>
      </c>
      <c r="GH24">
        <v>1</v>
      </c>
      <c r="GI24">
        <v>-2</v>
      </c>
      <c r="GJ24">
        <v>0</v>
      </c>
      <c r="GK24">
        <f>ROUND(R24*(R12)/100,0)</f>
        <v>0</v>
      </c>
      <c r="GL24">
        <f aca="true" t="shared" si="37" ref="GL24:GL37">ROUND(IF(AND(BH24=3,BI24=3,FS24&lt;&gt;0),P24,0),0)</f>
        <v>0</v>
      </c>
      <c r="GM24">
        <f aca="true" t="shared" si="38" ref="GM24:GM37">O24+X24+Y24</f>
        <v>93184</v>
      </c>
      <c r="GN24">
        <f aca="true" t="shared" si="39" ref="GN24:GN37">ROUND(IF(OR(BI24=0,BI24=1),O24+X24+Y24,0),0)</f>
        <v>93184</v>
      </c>
      <c r="GO24">
        <f aca="true" t="shared" si="40" ref="GO24:GO37">ROUND(IF(BI24=2,O24+X24+Y24,0),0)</f>
        <v>0</v>
      </c>
      <c r="GP24">
        <f aca="true" t="shared" si="41" ref="GP24:GP37">ROUND(IF(BI24=4,O24+X24+Y24,0),0)</f>
        <v>0</v>
      </c>
      <c r="GR24">
        <v>0</v>
      </c>
    </row>
    <row r="25" spans="1:200" ht="12.75">
      <c r="A25">
        <v>17</v>
      </c>
      <c r="B25">
        <v>1</v>
      </c>
      <c r="C25">
        <f>ROW(SmtRes!A10)</f>
        <v>10</v>
      </c>
      <c r="D25">
        <f>ROW(EtalonRes!A10)</f>
        <v>10</v>
      </c>
      <c r="E25" t="s">
        <v>23</v>
      </c>
      <c r="F25" t="s">
        <v>24</v>
      </c>
      <c r="G25" t="s">
        <v>25</v>
      </c>
      <c r="H25" t="s">
        <v>15</v>
      </c>
      <c r="I25">
        <v>1.629</v>
      </c>
      <c r="J25">
        <v>0</v>
      </c>
      <c r="O25">
        <f t="shared" si="10"/>
        <v>40745</v>
      </c>
      <c r="P25">
        <f t="shared" si="11"/>
        <v>0</v>
      </c>
      <c r="Q25">
        <f t="shared" si="12"/>
        <v>17971</v>
      </c>
      <c r="R25">
        <f t="shared" si="13"/>
        <v>0</v>
      </c>
      <c r="S25">
        <f t="shared" si="14"/>
        <v>22774</v>
      </c>
      <c r="T25">
        <f t="shared" si="15"/>
        <v>0</v>
      </c>
      <c r="U25">
        <f t="shared" si="16"/>
        <v>181.1448</v>
      </c>
      <c r="V25">
        <f t="shared" si="17"/>
        <v>34.209</v>
      </c>
      <c r="W25">
        <f t="shared" si="18"/>
        <v>0</v>
      </c>
      <c r="X25">
        <f t="shared" si="19"/>
        <v>15486</v>
      </c>
      <c r="Y25">
        <f t="shared" si="20"/>
        <v>12389</v>
      </c>
      <c r="AA25">
        <v>26917020</v>
      </c>
      <c r="AB25">
        <f t="shared" si="21"/>
        <v>25012.1</v>
      </c>
      <c r="AC25">
        <f>ROUND((0),2)</f>
        <v>0</v>
      </c>
      <c r="AD25">
        <f>ROUND((SUM(SmtRes!BR5:SmtRes!BR10)),2)</f>
        <v>11032.04</v>
      </c>
      <c r="AE25">
        <f t="shared" si="22"/>
        <v>0</v>
      </c>
      <c r="AF25">
        <f>ROUND((SUM(SmtRes!BT5:SmtRes!BT10)),2)</f>
        <v>13980.06</v>
      </c>
      <c r="AG25">
        <f t="shared" si="23"/>
        <v>0</v>
      </c>
      <c r="AH25">
        <f>(SUM(SmtRes!BU5:SmtRes!BU10))</f>
        <v>111.2</v>
      </c>
      <c r="AI25">
        <f>(SUM(SmtRes!BV5:SmtRes!BV10))</f>
        <v>21</v>
      </c>
      <c r="AJ25">
        <f t="shared" si="24"/>
        <v>0</v>
      </c>
      <c r="AK25">
        <v>25012.108</v>
      </c>
      <c r="AL25">
        <v>0</v>
      </c>
      <c r="AM25">
        <v>11032.044</v>
      </c>
      <c r="AN25">
        <v>0</v>
      </c>
      <c r="AO25">
        <v>13980.064</v>
      </c>
      <c r="AP25">
        <v>0</v>
      </c>
      <c r="AQ25">
        <v>111.2</v>
      </c>
      <c r="AR25">
        <v>21</v>
      </c>
      <c r="AS25">
        <v>0</v>
      </c>
      <c r="AT25">
        <v>68</v>
      </c>
      <c r="AU25">
        <v>54.4</v>
      </c>
      <c r="AV25">
        <v>1</v>
      </c>
      <c r="AW25">
        <v>1</v>
      </c>
      <c r="AZ25">
        <v>1</v>
      </c>
      <c r="BA25">
        <v>1</v>
      </c>
      <c r="BB25">
        <v>1</v>
      </c>
      <c r="BC25">
        <v>1</v>
      </c>
      <c r="BH25">
        <v>0</v>
      </c>
      <c r="BI25">
        <v>1</v>
      </c>
      <c r="BJ25" t="s">
        <v>26</v>
      </c>
      <c r="BM25">
        <v>57001</v>
      </c>
      <c r="BN25">
        <v>0</v>
      </c>
      <c r="BP25">
        <v>0</v>
      </c>
      <c r="BQ25">
        <v>6</v>
      </c>
      <c r="BR25">
        <v>0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80</v>
      </c>
      <c r="CA25">
        <v>68</v>
      </c>
      <c r="CF25">
        <v>0</v>
      </c>
      <c r="CG25">
        <v>0</v>
      </c>
      <c r="CM25">
        <v>0</v>
      </c>
      <c r="CO25">
        <v>0</v>
      </c>
      <c r="CP25">
        <f t="shared" si="25"/>
        <v>40745</v>
      </c>
      <c r="CQ25">
        <f t="shared" si="26"/>
        <v>0</v>
      </c>
      <c r="CR25">
        <f t="shared" si="27"/>
        <v>11032.04</v>
      </c>
      <c r="CS25">
        <f t="shared" si="28"/>
        <v>0</v>
      </c>
      <c r="CT25">
        <f t="shared" si="29"/>
        <v>13980.06</v>
      </c>
      <c r="CU25">
        <f t="shared" si="30"/>
        <v>0</v>
      </c>
      <c r="CV25">
        <f t="shared" si="31"/>
        <v>111.2</v>
      </c>
      <c r="CW25">
        <f t="shared" si="32"/>
        <v>21</v>
      </c>
      <c r="CX25">
        <f t="shared" si="33"/>
        <v>0</v>
      </c>
      <c r="CY25">
        <f t="shared" si="34"/>
        <v>15486.320000000002</v>
      </c>
      <c r="CZ25">
        <f t="shared" si="35"/>
        <v>12389.056</v>
      </c>
      <c r="DL25" t="s">
        <v>27</v>
      </c>
      <c r="DM25" t="s">
        <v>28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15</v>
      </c>
      <c r="DW25" t="s">
        <v>15</v>
      </c>
      <c r="DX25">
        <v>1</v>
      </c>
      <c r="EE25">
        <v>25701126</v>
      </c>
      <c r="EF25">
        <v>6</v>
      </c>
      <c r="EG25" t="s">
        <v>29</v>
      </c>
      <c r="EH25">
        <v>0</v>
      </c>
      <c r="EJ25">
        <v>1</v>
      </c>
      <c r="EK25">
        <v>57001</v>
      </c>
      <c r="EL25" t="s">
        <v>30</v>
      </c>
      <c r="EM25" t="s">
        <v>31</v>
      </c>
      <c r="EQ25">
        <v>131072</v>
      </c>
      <c r="ER25">
        <v>2791.56</v>
      </c>
      <c r="ES25">
        <v>0</v>
      </c>
      <c r="ET25">
        <v>1843.02</v>
      </c>
      <c r="EU25">
        <v>217.35</v>
      </c>
      <c r="EV25">
        <v>948.54</v>
      </c>
      <c r="EW25">
        <v>111.2</v>
      </c>
      <c r="EX25">
        <v>21</v>
      </c>
      <c r="EY25">
        <v>0</v>
      </c>
      <c r="FQ25">
        <v>0</v>
      </c>
      <c r="FR25">
        <f t="shared" si="36"/>
        <v>0</v>
      </c>
      <c r="FS25">
        <v>0</v>
      </c>
      <c r="FX25">
        <v>68</v>
      </c>
      <c r="FY25">
        <v>54.4</v>
      </c>
      <c r="GF25">
        <v>-193939353</v>
      </c>
      <c r="GG25">
        <v>2</v>
      </c>
      <c r="GH25">
        <v>1</v>
      </c>
      <c r="GI25">
        <v>-2</v>
      </c>
      <c r="GJ25">
        <v>0</v>
      </c>
      <c r="GK25">
        <f>ROUND(R25*(R12)/100,0)</f>
        <v>0</v>
      </c>
      <c r="GL25">
        <f t="shared" si="37"/>
        <v>0</v>
      </c>
      <c r="GM25">
        <f t="shared" si="38"/>
        <v>68620</v>
      </c>
      <c r="GN25">
        <f t="shared" si="39"/>
        <v>68620</v>
      </c>
      <c r="GO25">
        <f t="shared" si="40"/>
        <v>0</v>
      </c>
      <c r="GP25">
        <f t="shared" si="41"/>
        <v>0</v>
      </c>
      <c r="GR25">
        <v>0</v>
      </c>
    </row>
    <row r="26" spans="1:200" ht="12.75">
      <c r="A26">
        <v>17</v>
      </c>
      <c r="B26">
        <v>1</v>
      </c>
      <c r="C26">
        <f>ROW(SmtRes!A12)</f>
        <v>12</v>
      </c>
      <c r="D26">
        <f>ROW(EtalonRes!A13)</f>
        <v>13</v>
      </c>
      <c r="E26" t="s">
        <v>32</v>
      </c>
      <c r="F26" t="s">
        <v>33</v>
      </c>
      <c r="G26" t="s">
        <v>34</v>
      </c>
      <c r="H26" t="s">
        <v>35</v>
      </c>
      <c r="I26">
        <v>1.629</v>
      </c>
      <c r="J26">
        <v>0</v>
      </c>
      <c r="O26">
        <f t="shared" si="10"/>
        <v>13678</v>
      </c>
      <c r="P26">
        <f t="shared" si="11"/>
        <v>12703</v>
      </c>
      <c r="Q26">
        <f t="shared" si="12"/>
        <v>0</v>
      </c>
      <c r="R26">
        <f t="shared" si="13"/>
        <v>0</v>
      </c>
      <c r="S26">
        <f t="shared" si="14"/>
        <v>975</v>
      </c>
      <c r="T26">
        <f t="shared" si="15"/>
        <v>0</v>
      </c>
      <c r="U26">
        <f t="shared" si="16"/>
        <v>7.755668999999998</v>
      </c>
      <c r="V26">
        <f t="shared" si="17"/>
        <v>0</v>
      </c>
      <c r="W26">
        <f t="shared" si="18"/>
        <v>0</v>
      </c>
      <c r="X26">
        <f t="shared" si="19"/>
        <v>917</v>
      </c>
      <c r="Y26">
        <f t="shared" si="20"/>
        <v>497</v>
      </c>
      <c r="AA26">
        <v>26917020</v>
      </c>
      <c r="AB26">
        <f t="shared" si="21"/>
        <v>8396.65</v>
      </c>
      <c r="AC26">
        <f>ROUND((SUM(SmtRes!BQ11:SmtRes!BQ12)),2)</f>
        <v>7798.1</v>
      </c>
      <c r="AD26">
        <f>ROUND((0),2)</f>
        <v>0</v>
      </c>
      <c r="AE26">
        <f t="shared" si="22"/>
        <v>0</v>
      </c>
      <c r="AF26">
        <f>ROUND((SUM(SmtRes!BT11:SmtRes!BT12)),2)</f>
        <v>598.55</v>
      </c>
      <c r="AG26">
        <f t="shared" si="23"/>
        <v>0</v>
      </c>
      <c r="AH26">
        <f>(SUM(SmtRes!BU11:SmtRes!BU12))</f>
        <v>4.760999999999999</v>
      </c>
      <c r="AI26">
        <f>(0)</f>
        <v>0</v>
      </c>
      <c r="AJ26">
        <f t="shared" si="24"/>
        <v>0</v>
      </c>
      <c r="AK26">
        <v>8231.838</v>
      </c>
      <c r="AL26">
        <v>7798.104</v>
      </c>
      <c r="AM26">
        <v>0</v>
      </c>
      <c r="AN26">
        <v>0</v>
      </c>
      <c r="AO26">
        <v>433.73400000000004</v>
      </c>
      <c r="AP26">
        <v>0</v>
      </c>
      <c r="AQ26">
        <v>3.45</v>
      </c>
      <c r="AR26">
        <v>0</v>
      </c>
      <c r="AS26">
        <v>0</v>
      </c>
      <c r="AT26">
        <v>94.1</v>
      </c>
      <c r="AU26">
        <v>51</v>
      </c>
      <c r="AV26">
        <v>1</v>
      </c>
      <c r="AW26">
        <v>1</v>
      </c>
      <c r="AZ26">
        <v>1</v>
      </c>
      <c r="BA26">
        <v>1</v>
      </c>
      <c r="BB26">
        <v>1</v>
      </c>
      <c r="BC26">
        <v>1</v>
      </c>
      <c r="BH26">
        <v>0</v>
      </c>
      <c r="BI26">
        <v>1</v>
      </c>
      <c r="BJ26" t="s">
        <v>36</v>
      </c>
      <c r="BM26">
        <v>11001</v>
      </c>
      <c r="BN26">
        <v>0</v>
      </c>
      <c r="BP26">
        <v>0</v>
      </c>
      <c r="BQ26">
        <v>2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123</v>
      </c>
      <c r="CA26">
        <v>75</v>
      </c>
      <c r="CF26">
        <v>0</v>
      </c>
      <c r="CG26">
        <v>0</v>
      </c>
      <c r="CM26">
        <v>0</v>
      </c>
      <c r="CO26">
        <v>0</v>
      </c>
      <c r="CP26">
        <f t="shared" si="25"/>
        <v>13678</v>
      </c>
      <c r="CQ26">
        <f t="shared" si="26"/>
        <v>7798.1</v>
      </c>
      <c r="CR26">
        <f t="shared" si="27"/>
        <v>0</v>
      </c>
      <c r="CS26">
        <f t="shared" si="28"/>
        <v>0</v>
      </c>
      <c r="CT26">
        <f t="shared" si="29"/>
        <v>598.55</v>
      </c>
      <c r="CU26">
        <f t="shared" si="30"/>
        <v>0</v>
      </c>
      <c r="CV26">
        <f t="shared" si="31"/>
        <v>4.760999999999999</v>
      </c>
      <c r="CW26">
        <f t="shared" si="32"/>
        <v>0</v>
      </c>
      <c r="CX26">
        <f t="shared" si="33"/>
        <v>0</v>
      </c>
      <c r="CY26">
        <f t="shared" si="34"/>
        <v>917.4749999999999</v>
      </c>
      <c r="CZ26">
        <f t="shared" si="35"/>
        <v>497.25</v>
      </c>
      <c r="DE26" t="s">
        <v>37</v>
      </c>
      <c r="DF26" t="s">
        <v>37</v>
      </c>
      <c r="DG26" t="s">
        <v>38</v>
      </c>
      <c r="DI26" t="s">
        <v>38</v>
      </c>
      <c r="DJ26" t="s">
        <v>37</v>
      </c>
      <c r="DL26" t="s">
        <v>39</v>
      </c>
      <c r="DM26" t="s">
        <v>40</v>
      </c>
      <c r="DN26">
        <v>0</v>
      </c>
      <c r="DO26">
        <v>0</v>
      </c>
      <c r="DP26">
        <v>1</v>
      </c>
      <c r="DQ26">
        <v>1</v>
      </c>
      <c r="DU26">
        <v>1013</v>
      </c>
      <c r="DV26" t="s">
        <v>35</v>
      </c>
      <c r="DW26" t="s">
        <v>35</v>
      </c>
      <c r="DX26">
        <v>1</v>
      </c>
      <c r="EE26">
        <v>25701054</v>
      </c>
      <c r="EF26">
        <v>2</v>
      </c>
      <c r="EG26" t="s">
        <v>19</v>
      </c>
      <c r="EH26">
        <v>0</v>
      </c>
      <c r="EJ26">
        <v>1</v>
      </c>
      <c r="EK26">
        <v>11001</v>
      </c>
      <c r="EL26" t="s">
        <v>30</v>
      </c>
      <c r="EM26" t="s">
        <v>41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3.45</v>
      </c>
      <c r="EX26">
        <v>0</v>
      </c>
      <c r="EY26">
        <v>0</v>
      </c>
      <c r="FQ26">
        <v>0</v>
      </c>
      <c r="FR26">
        <f t="shared" si="36"/>
        <v>0</v>
      </c>
      <c r="FS26">
        <v>0</v>
      </c>
      <c r="FT26" t="s">
        <v>42</v>
      </c>
      <c r="FU26" t="s">
        <v>22</v>
      </c>
      <c r="FX26">
        <v>94.1</v>
      </c>
      <c r="FY26">
        <v>51</v>
      </c>
      <c r="GF26">
        <v>281755146</v>
      </c>
      <c r="GG26">
        <v>2</v>
      </c>
      <c r="GH26">
        <v>1</v>
      </c>
      <c r="GI26">
        <v>-2</v>
      </c>
      <c r="GJ26">
        <v>0</v>
      </c>
      <c r="GK26">
        <f>ROUND(R26*(R12)/100,0)</f>
        <v>0</v>
      </c>
      <c r="GL26">
        <f t="shared" si="37"/>
        <v>0</v>
      </c>
      <c r="GM26">
        <f t="shared" si="38"/>
        <v>15092</v>
      </c>
      <c r="GN26">
        <f t="shared" si="39"/>
        <v>15092</v>
      </c>
      <c r="GO26">
        <f t="shared" si="40"/>
        <v>0</v>
      </c>
      <c r="GP26">
        <f t="shared" si="41"/>
        <v>0</v>
      </c>
      <c r="GR26">
        <v>0</v>
      </c>
    </row>
    <row r="27" spans="1:200" ht="12.75">
      <c r="A27">
        <v>17</v>
      </c>
      <c r="B27">
        <v>1</v>
      </c>
      <c r="C27">
        <f>ROW(SmtRes!A18)</f>
        <v>18</v>
      </c>
      <c r="D27">
        <f>ROW(EtalonRes!A19)</f>
        <v>19</v>
      </c>
      <c r="E27" t="s">
        <v>43</v>
      </c>
      <c r="F27" t="s">
        <v>44</v>
      </c>
      <c r="G27" t="s">
        <v>45</v>
      </c>
      <c r="H27" t="s">
        <v>46</v>
      </c>
      <c r="I27">
        <v>1.629</v>
      </c>
      <c r="J27">
        <v>0</v>
      </c>
      <c r="O27">
        <f t="shared" si="10"/>
        <v>104139</v>
      </c>
      <c r="P27">
        <f t="shared" si="11"/>
        <v>76756</v>
      </c>
      <c r="Q27">
        <f t="shared" si="12"/>
        <v>17722</v>
      </c>
      <c r="R27">
        <f t="shared" si="13"/>
        <v>0</v>
      </c>
      <c r="S27">
        <f t="shared" si="14"/>
        <v>9661</v>
      </c>
      <c r="T27">
        <f t="shared" si="15"/>
        <v>0</v>
      </c>
      <c r="U27">
        <f t="shared" si="16"/>
        <v>68.115006</v>
      </c>
      <c r="V27">
        <f t="shared" si="17"/>
        <v>26.927369999999996</v>
      </c>
      <c r="W27">
        <f t="shared" si="18"/>
        <v>0</v>
      </c>
      <c r="X27">
        <f t="shared" si="19"/>
        <v>9091</v>
      </c>
      <c r="Y27">
        <f t="shared" si="20"/>
        <v>4927</v>
      </c>
      <c r="AA27">
        <v>26917020</v>
      </c>
      <c r="AB27">
        <f t="shared" si="21"/>
        <v>63928.35</v>
      </c>
      <c r="AC27">
        <f>ROUND((SUM(SmtRes!BQ13:SmtRes!BQ18)),2)</f>
        <v>47118.65</v>
      </c>
      <c r="AD27">
        <f>ROUND((SUM(SmtRes!BR13:SmtRes!BR18)),2)</f>
        <v>10879.22</v>
      </c>
      <c r="AE27">
        <f t="shared" si="22"/>
        <v>0</v>
      </c>
      <c r="AF27">
        <f>ROUND((SUM(SmtRes!BT13:SmtRes!BT18)),2)</f>
        <v>5930.48</v>
      </c>
      <c r="AG27">
        <f t="shared" si="23"/>
        <v>0</v>
      </c>
      <c r="AH27">
        <f>(SUM(SmtRes!BU13:SmtRes!BU18))</f>
        <v>41.814</v>
      </c>
      <c r="AI27">
        <f>(SUM(SmtRes!BV13:SmtRes!BV18))</f>
        <v>16.529999999999998</v>
      </c>
      <c r="AJ27">
        <f t="shared" si="24"/>
        <v>0</v>
      </c>
      <c r="AK27">
        <v>58668.9106</v>
      </c>
      <c r="AL27">
        <v>47118.6486</v>
      </c>
      <c r="AM27">
        <v>7252.812999999999</v>
      </c>
      <c r="AN27">
        <v>0</v>
      </c>
      <c r="AO27">
        <v>4297.4490000000005</v>
      </c>
      <c r="AP27">
        <v>0</v>
      </c>
      <c r="AQ27">
        <v>30.3</v>
      </c>
      <c r="AR27">
        <v>11.02</v>
      </c>
      <c r="AS27">
        <v>0</v>
      </c>
      <c r="AT27">
        <v>94.1</v>
      </c>
      <c r="AU27">
        <v>51</v>
      </c>
      <c r="AV27">
        <v>1</v>
      </c>
      <c r="AW27">
        <v>1</v>
      </c>
      <c r="AZ27">
        <v>1</v>
      </c>
      <c r="BA27">
        <v>1</v>
      </c>
      <c r="BB27">
        <v>1</v>
      </c>
      <c r="BC27">
        <v>1</v>
      </c>
      <c r="BH27">
        <v>0</v>
      </c>
      <c r="BI27">
        <v>1</v>
      </c>
      <c r="BJ27" t="s">
        <v>47</v>
      </c>
      <c r="BM27">
        <v>11001</v>
      </c>
      <c r="BN27">
        <v>0</v>
      </c>
      <c r="BP27">
        <v>0</v>
      </c>
      <c r="BQ27">
        <v>2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123</v>
      </c>
      <c r="CA27">
        <v>75</v>
      </c>
      <c r="CF27">
        <v>0</v>
      </c>
      <c r="CG27">
        <v>0</v>
      </c>
      <c r="CM27">
        <v>0</v>
      </c>
      <c r="CO27">
        <v>0</v>
      </c>
      <c r="CP27">
        <f t="shared" si="25"/>
        <v>104139</v>
      </c>
      <c r="CQ27">
        <f t="shared" si="26"/>
        <v>47118.65</v>
      </c>
      <c r="CR27">
        <f t="shared" si="27"/>
        <v>10879.22</v>
      </c>
      <c r="CS27">
        <f t="shared" si="28"/>
        <v>0</v>
      </c>
      <c r="CT27">
        <f t="shared" si="29"/>
        <v>5930.48</v>
      </c>
      <c r="CU27">
        <f t="shared" si="30"/>
        <v>0</v>
      </c>
      <c r="CV27">
        <f t="shared" si="31"/>
        <v>41.814</v>
      </c>
      <c r="CW27">
        <f t="shared" si="32"/>
        <v>16.529999999999998</v>
      </c>
      <c r="CX27">
        <f t="shared" si="33"/>
        <v>0</v>
      </c>
      <c r="CY27">
        <f t="shared" si="34"/>
        <v>9091.001</v>
      </c>
      <c r="CZ27">
        <f t="shared" si="35"/>
        <v>4927.11</v>
      </c>
      <c r="DE27" t="s">
        <v>37</v>
      </c>
      <c r="DF27" t="s">
        <v>37</v>
      </c>
      <c r="DG27" t="s">
        <v>38</v>
      </c>
      <c r="DI27" t="s">
        <v>38</v>
      </c>
      <c r="DJ27" t="s">
        <v>37</v>
      </c>
      <c r="DL27" t="s">
        <v>39</v>
      </c>
      <c r="DM27" t="s">
        <v>40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46</v>
      </c>
      <c r="DW27" t="s">
        <v>46</v>
      </c>
      <c r="DX27">
        <v>1</v>
      </c>
      <c r="EE27">
        <v>25701054</v>
      </c>
      <c r="EF27">
        <v>2</v>
      </c>
      <c r="EG27" t="s">
        <v>19</v>
      </c>
      <c r="EH27">
        <v>0</v>
      </c>
      <c r="EJ27">
        <v>1</v>
      </c>
      <c r="EK27">
        <v>11001</v>
      </c>
      <c r="EL27" t="s">
        <v>30</v>
      </c>
      <c r="EM27" t="s">
        <v>41</v>
      </c>
      <c r="EQ27">
        <v>0</v>
      </c>
      <c r="ER27">
        <v>7312.86</v>
      </c>
      <c r="ES27">
        <v>6830.72</v>
      </c>
      <c r="ET27">
        <v>190.65</v>
      </c>
      <c r="EU27">
        <v>127.83</v>
      </c>
      <c r="EV27">
        <v>291.49</v>
      </c>
      <c r="EW27">
        <v>30.3</v>
      </c>
      <c r="EX27">
        <v>11.02</v>
      </c>
      <c r="EY27">
        <v>0</v>
      </c>
      <c r="FQ27">
        <v>0</v>
      </c>
      <c r="FR27">
        <f t="shared" si="36"/>
        <v>0</v>
      </c>
      <c r="FS27">
        <v>0</v>
      </c>
      <c r="FT27" t="s">
        <v>42</v>
      </c>
      <c r="FU27" t="s">
        <v>22</v>
      </c>
      <c r="FX27">
        <v>94.1</v>
      </c>
      <c r="FY27">
        <v>51</v>
      </c>
      <c r="GF27">
        <v>404037546</v>
      </c>
      <c r="GG27">
        <v>2</v>
      </c>
      <c r="GH27">
        <v>1</v>
      </c>
      <c r="GI27">
        <v>-2</v>
      </c>
      <c r="GJ27">
        <v>0</v>
      </c>
      <c r="GK27">
        <f>ROUND(R27*(R12)/100,0)</f>
        <v>0</v>
      </c>
      <c r="GL27">
        <f t="shared" si="37"/>
        <v>0</v>
      </c>
      <c r="GM27">
        <f t="shared" si="38"/>
        <v>118157</v>
      </c>
      <c r="GN27">
        <f t="shared" si="39"/>
        <v>118157</v>
      </c>
      <c r="GO27">
        <f t="shared" si="40"/>
        <v>0</v>
      </c>
      <c r="GP27">
        <f t="shared" si="41"/>
        <v>0</v>
      </c>
      <c r="GR27">
        <v>0</v>
      </c>
    </row>
    <row r="28" spans="1:200" ht="12.75">
      <c r="A28">
        <v>17</v>
      </c>
      <c r="B28">
        <v>1</v>
      </c>
      <c r="C28">
        <f>ROW(SmtRes!A22)</f>
        <v>22</v>
      </c>
      <c r="D28">
        <f>ROW(EtalonRes!A23)</f>
        <v>23</v>
      </c>
      <c r="E28" t="s">
        <v>48</v>
      </c>
      <c r="F28" t="s">
        <v>49</v>
      </c>
      <c r="G28" t="s">
        <v>50</v>
      </c>
      <c r="H28" t="s">
        <v>51</v>
      </c>
      <c r="I28">
        <v>0.06</v>
      </c>
      <c r="J28">
        <v>0</v>
      </c>
      <c r="O28">
        <f t="shared" si="10"/>
        <v>644</v>
      </c>
      <c r="P28">
        <f t="shared" si="11"/>
        <v>0</v>
      </c>
      <c r="Q28">
        <f t="shared" si="12"/>
        <v>5</v>
      </c>
      <c r="R28">
        <f t="shared" si="13"/>
        <v>0</v>
      </c>
      <c r="S28">
        <f t="shared" si="14"/>
        <v>639</v>
      </c>
      <c r="T28">
        <f t="shared" si="15"/>
        <v>0</v>
      </c>
      <c r="U28">
        <f t="shared" si="16"/>
        <v>5.117999999999999</v>
      </c>
      <c r="V28">
        <f t="shared" si="17"/>
        <v>0.0192</v>
      </c>
      <c r="W28">
        <f t="shared" si="18"/>
        <v>0</v>
      </c>
      <c r="X28">
        <f t="shared" si="19"/>
        <v>402</v>
      </c>
      <c r="Y28">
        <f t="shared" si="20"/>
        <v>256</v>
      </c>
      <c r="AA28">
        <v>26917020</v>
      </c>
      <c r="AB28">
        <f t="shared" si="21"/>
        <v>10724.89</v>
      </c>
      <c r="AC28">
        <f>ROUND((0),2)</f>
        <v>0</v>
      </c>
      <c r="AD28">
        <f>ROUND((SUM(SmtRes!BR19:SmtRes!BR22)),2)</f>
        <v>82.86</v>
      </c>
      <c r="AE28">
        <f t="shared" si="22"/>
        <v>0</v>
      </c>
      <c r="AF28">
        <f>ROUND((SUM(SmtRes!BT19:SmtRes!BT22)),2)</f>
        <v>10642.03</v>
      </c>
      <c r="AG28">
        <f t="shared" si="23"/>
        <v>0</v>
      </c>
      <c r="AH28">
        <f>(SUM(SmtRes!BU19:SmtRes!BU22))</f>
        <v>85.3</v>
      </c>
      <c r="AI28">
        <f>(SUM(SmtRes!BV19:SmtRes!BV22))</f>
        <v>0.32</v>
      </c>
      <c r="AJ28">
        <f t="shared" si="24"/>
        <v>0</v>
      </c>
      <c r="AK28">
        <v>10724.8888</v>
      </c>
      <c r="AL28">
        <v>0</v>
      </c>
      <c r="AM28">
        <v>82.8608</v>
      </c>
      <c r="AN28">
        <v>0</v>
      </c>
      <c r="AO28">
        <v>10642.028</v>
      </c>
      <c r="AP28">
        <v>0</v>
      </c>
      <c r="AQ28">
        <v>85.3</v>
      </c>
      <c r="AR28">
        <v>0.32</v>
      </c>
      <c r="AS28">
        <v>0</v>
      </c>
      <c r="AT28">
        <v>62.9</v>
      </c>
      <c r="AU28">
        <v>40</v>
      </c>
      <c r="AV28">
        <v>1</v>
      </c>
      <c r="AW28">
        <v>1</v>
      </c>
      <c r="AZ28">
        <v>1</v>
      </c>
      <c r="BA28">
        <v>1</v>
      </c>
      <c r="BB28">
        <v>1</v>
      </c>
      <c r="BC28">
        <v>1</v>
      </c>
      <c r="BH28">
        <v>0</v>
      </c>
      <c r="BI28">
        <v>1</v>
      </c>
      <c r="BJ28" t="s">
        <v>52</v>
      </c>
      <c r="BM28">
        <v>65001</v>
      </c>
      <c r="BN28">
        <v>0</v>
      </c>
      <c r="BP28">
        <v>0</v>
      </c>
      <c r="BQ28">
        <v>6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74</v>
      </c>
      <c r="CA28">
        <v>50</v>
      </c>
      <c r="CF28">
        <v>0</v>
      </c>
      <c r="CG28">
        <v>0</v>
      </c>
      <c r="CM28">
        <v>0</v>
      </c>
      <c r="CO28">
        <v>0</v>
      </c>
      <c r="CP28">
        <f t="shared" si="25"/>
        <v>644</v>
      </c>
      <c r="CQ28">
        <f t="shared" si="26"/>
        <v>0</v>
      </c>
      <c r="CR28">
        <f t="shared" si="27"/>
        <v>82.86</v>
      </c>
      <c r="CS28">
        <f t="shared" si="28"/>
        <v>0</v>
      </c>
      <c r="CT28">
        <f t="shared" si="29"/>
        <v>10642.03</v>
      </c>
      <c r="CU28">
        <f t="shared" si="30"/>
        <v>0</v>
      </c>
      <c r="CV28">
        <f t="shared" si="31"/>
        <v>85.3</v>
      </c>
      <c r="CW28">
        <f t="shared" si="32"/>
        <v>0.32</v>
      </c>
      <c r="CX28">
        <f t="shared" si="33"/>
        <v>0</v>
      </c>
      <c r="CY28">
        <f t="shared" si="34"/>
        <v>401.931</v>
      </c>
      <c r="CZ28">
        <f t="shared" si="35"/>
        <v>255.60000000000002</v>
      </c>
      <c r="DL28" t="s">
        <v>53</v>
      </c>
      <c r="DM28" t="s">
        <v>54</v>
      </c>
      <c r="DN28">
        <v>0</v>
      </c>
      <c r="DO28">
        <v>0</v>
      </c>
      <c r="DP28">
        <v>1</v>
      </c>
      <c r="DQ28">
        <v>1</v>
      </c>
      <c r="DU28">
        <v>1013</v>
      </c>
      <c r="DV28" t="s">
        <v>51</v>
      </c>
      <c r="DW28" t="s">
        <v>51</v>
      </c>
      <c r="DX28">
        <v>1</v>
      </c>
      <c r="EE28">
        <v>25701134</v>
      </c>
      <c r="EF28">
        <v>6</v>
      </c>
      <c r="EG28" t="s">
        <v>29</v>
      </c>
      <c r="EH28">
        <v>0</v>
      </c>
      <c r="EJ28">
        <v>1</v>
      </c>
      <c r="EK28">
        <v>65001</v>
      </c>
      <c r="EL28" t="s">
        <v>55</v>
      </c>
      <c r="EM28" t="s">
        <v>56</v>
      </c>
      <c r="EQ28">
        <v>0</v>
      </c>
      <c r="ER28">
        <v>731.64</v>
      </c>
      <c r="ES28">
        <v>0</v>
      </c>
      <c r="ET28">
        <v>10</v>
      </c>
      <c r="EU28">
        <v>4.32</v>
      </c>
      <c r="EV28">
        <v>721.64</v>
      </c>
      <c r="EW28">
        <v>85.3</v>
      </c>
      <c r="EX28">
        <v>0.32</v>
      </c>
      <c r="EY28">
        <v>0</v>
      </c>
      <c r="FQ28">
        <v>0</v>
      </c>
      <c r="FR28">
        <f t="shared" si="36"/>
        <v>0</v>
      </c>
      <c r="FS28">
        <v>0</v>
      </c>
      <c r="FX28">
        <v>62.9</v>
      </c>
      <c r="FY28">
        <v>40</v>
      </c>
      <c r="GF28">
        <v>-471339615</v>
      </c>
      <c r="GG28">
        <v>2</v>
      </c>
      <c r="GH28">
        <v>1</v>
      </c>
      <c r="GI28">
        <v>-2</v>
      </c>
      <c r="GJ28">
        <v>0</v>
      </c>
      <c r="GK28">
        <f>ROUND(R28*(R12)/100,0)</f>
        <v>0</v>
      </c>
      <c r="GL28">
        <f t="shared" si="37"/>
        <v>0</v>
      </c>
      <c r="GM28">
        <f t="shared" si="38"/>
        <v>1302</v>
      </c>
      <c r="GN28">
        <f t="shared" si="39"/>
        <v>1302</v>
      </c>
      <c r="GO28">
        <f t="shared" si="40"/>
        <v>0</v>
      </c>
      <c r="GP28">
        <f t="shared" si="41"/>
        <v>0</v>
      </c>
      <c r="GR28">
        <v>0</v>
      </c>
    </row>
    <row r="29" spans="1:200" ht="12.75">
      <c r="A29">
        <v>17</v>
      </c>
      <c r="B29">
        <v>1</v>
      </c>
      <c r="C29">
        <f>ROW(SmtRes!A30)</f>
        <v>30</v>
      </c>
      <c r="D29">
        <f>ROW(EtalonRes!A34)</f>
        <v>34</v>
      </c>
      <c r="E29" t="s">
        <v>57</v>
      </c>
      <c r="F29" t="s">
        <v>58</v>
      </c>
      <c r="G29" t="s">
        <v>59</v>
      </c>
      <c r="H29" t="s">
        <v>60</v>
      </c>
      <c r="I29">
        <v>0.06</v>
      </c>
      <c r="J29">
        <v>0</v>
      </c>
      <c r="O29">
        <f t="shared" si="10"/>
        <v>11612</v>
      </c>
      <c r="P29">
        <f t="shared" si="11"/>
        <v>10860</v>
      </c>
      <c r="Q29">
        <f t="shared" si="12"/>
        <v>6</v>
      </c>
      <c r="R29">
        <f t="shared" si="13"/>
        <v>0</v>
      </c>
      <c r="S29">
        <f t="shared" si="14"/>
        <v>746</v>
      </c>
      <c r="T29">
        <f t="shared" si="15"/>
        <v>0</v>
      </c>
      <c r="U29">
        <f t="shared" si="16"/>
        <v>5.100479999999998</v>
      </c>
      <c r="V29">
        <f t="shared" si="17"/>
        <v>0.0045</v>
      </c>
      <c r="W29">
        <f t="shared" si="18"/>
        <v>0</v>
      </c>
      <c r="X29">
        <f t="shared" si="19"/>
        <v>730</v>
      </c>
      <c r="Y29">
        <f t="shared" si="20"/>
        <v>421</v>
      </c>
      <c r="AA29">
        <v>26917020</v>
      </c>
      <c r="AB29">
        <f t="shared" si="21"/>
        <v>193539.24</v>
      </c>
      <c r="AC29">
        <f>ROUND((SUM(SmtRes!BQ23:SmtRes!BQ30)),2)</f>
        <v>181002.82</v>
      </c>
      <c r="AD29">
        <f>ROUND((SUM(SmtRes!BR23:SmtRes!BR30)),2)</f>
        <v>101.45</v>
      </c>
      <c r="AE29">
        <f t="shared" si="22"/>
        <v>0</v>
      </c>
      <c r="AF29">
        <f>ROUND((SUM(SmtRes!BT23:SmtRes!BT30)),2)</f>
        <v>12434.97</v>
      </c>
      <c r="AG29">
        <f t="shared" si="23"/>
        <v>0</v>
      </c>
      <c r="AH29">
        <f>(SUM(SmtRes!BU23:SmtRes!BU30))</f>
        <v>85.00799999999998</v>
      </c>
      <c r="AI29">
        <f>(SUM(SmtRes!BV23:SmtRes!BV30))</f>
        <v>0.075</v>
      </c>
      <c r="AJ29">
        <f t="shared" si="24"/>
        <v>0</v>
      </c>
      <c r="AK29">
        <v>190081.30447738335</v>
      </c>
      <c r="AL29">
        <v>181002.82484613336</v>
      </c>
      <c r="AM29">
        <v>67.63163125</v>
      </c>
      <c r="AN29">
        <v>0</v>
      </c>
      <c r="AO29">
        <v>9010.848</v>
      </c>
      <c r="AP29">
        <v>0</v>
      </c>
      <c r="AQ29">
        <v>61.6</v>
      </c>
      <c r="AR29">
        <v>0.05</v>
      </c>
      <c r="AS29">
        <v>0</v>
      </c>
      <c r="AT29">
        <v>97.92</v>
      </c>
      <c r="AU29">
        <v>56.44</v>
      </c>
      <c r="AV29">
        <v>1</v>
      </c>
      <c r="AW29">
        <v>1</v>
      </c>
      <c r="AZ29">
        <v>1</v>
      </c>
      <c r="BA29">
        <v>1</v>
      </c>
      <c r="BB29">
        <v>1</v>
      </c>
      <c r="BC29">
        <v>1</v>
      </c>
      <c r="BH29">
        <v>0</v>
      </c>
      <c r="BI29">
        <v>1</v>
      </c>
      <c r="BJ29" t="s">
        <v>61</v>
      </c>
      <c r="BM29">
        <v>16001</v>
      </c>
      <c r="BN29">
        <v>0</v>
      </c>
      <c r="BP29">
        <v>0</v>
      </c>
      <c r="BQ29">
        <v>2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128</v>
      </c>
      <c r="CA29">
        <v>83</v>
      </c>
      <c r="CF29">
        <v>0</v>
      </c>
      <c r="CG29">
        <v>0</v>
      </c>
      <c r="CM29">
        <v>0</v>
      </c>
      <c r="CO29">
        <v>0</v>
      </c>
      <c r="CP29">
        <f t="shared" si="25"/>
        <v>11612</v>
      </c>
      <c r="CQ29">
        <f t="shared" si="26"/>
        <v>181002.82</v>
      </c>
      <c r="CR29">
        <f t="shared" si="27"/>
        <v>101.45</v>
      </c>
      <c r="CS29">
        <f t="shared" si="28"/>
        <v>0</v>
      </c>
      <c r="CT29">
        <f t="shared" si="29"/>
        <v>12434.97</v>
      </c>
      <c r="CU29">
        <f t="shared" si="30"/>
        <v>0</v>
      </c>
      <c r="CV29">
        <f t="shared" si="31"/>
        <v>85.00799999999998</v>
      </c>
      <c r="CW29">
        <f t="shared" si="32"/>
        <v>0.075</v>
      </c>
      <c r="CX29">
        <f t="shared" si="33"/>
        <v>0</v>
      </c>
      <c r="CY29">
        <f t="shared" si="34"/>
        <v>730.4832</v>
      </c>
      <c r="CZ29">
        <f t="shared" si="35"/>
        <v>421.0424</v>
      </c>
      <c r="DE29" t="s">
        <v>37</v>
      </c>
      <c r="DF29" t="s">
        <v>37</v>
      </c>
      <c r="DG29" t="s">
        <v>38</v>
      </c>
      <c r="DI29" t="s">
        <v>38</v>
      </c>
      <c r="DJ29" t="s">
        <v>37</v>
      </c>
      <c r="DL29" t="s">
        <v>62</v>
      </c>
      <c r="DM29" t="s">
        <v>63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60</v>
      </c>
      <c r="DW29" t="s">
        <v>60</v>
      </c>
      <c r="DX29">
        <v>1</v>
      </c>
      <c r="EE29">
        <v>25701077</v>
      </c>
      <c r="EF29">
        <v>2</v>
      </c>
      <c r="EG29" t="s">
        <v>19</v>
      </c>
      <c r="EH29">
        <v>0</v>
      </c>
      <c r="EJ29">
        <v>1</v>
      </c>
      <c r="EK29">
        <v>16001</v>
      </c>
      <c r="EL29" t="s">
        <v>64</v>
      </c>
      <c r="EM29" t="s">
        <v>65</v>
      </c>
      <c r="EQ29">
        <v>0</v>
      </c>
      <c r="ER29">
        <v>7784.49</v>
      </c>
      <c r="ES29">
        <v>7166.84</v>
      </c>
      <c r="ET29">
        <v>6.58</v>
      </c>
      <c r="EU29">
        <v>0.68</v>
      </c>
      <c r="EV29">
        <v>611.07</v>
      </c>
      <c r="EW29">
        <v>61.6</v>
      </c>
      <c r="EX29">
        <v>0.05</v>
      </c>
      <c r="EY29">
        <v>0</v>
      </c>
      <c r="FQ29">
        <v>0</v>
      </c>
      <c r="FR29">
        <f t="shared" si="36"/>
        <v>0</v>
      </c>
      <c r="FS29">
        <v>0</v>
      </c>
      <c r="FT29" t="s">
        <v>42</v>
      </c>
      <c r="FU29" t="s">
        <v>22</v>
      </c>
      <c r="FX29">
        <v>97.92</v>
      </c>
      <c r="FY29">
        <v>56.44</v>
      </c>
      <c r="GF29">
        <v>1319372057</v>
      </c>
      <c r="GG29">
        <v>2</v>
      </c>
      <c r="GH29">
        <v>1</v>
      </c>
      <c r="GI29">
        <v>-2</v>
      </c>
      <c r="GJ29">
        <v>0</v>
      </c>
      <c r="GK29">
        <f>ROUND(R29*(R12)/100,0)</f>
        <v>0</v>
      </c>
      <c r="GL29">
        <f t="shared" si="37"/>
        <v>0</v>
      </c>
      <c r="GM29">
        <f t="shared" si="38"/>
        <v>12763</v>
      </c>
      <c r="GN29">
        <f t="shared" si="39"/>
        <v>12763</v>
      </c>
      <c r="GO29">
        <f t="shared" si="40"/>
        <v>0</v>
      </c>
      <c r="GP29">
        <f t="shared" si="41"/>
        <v>0</v>
      </c>
      <c r="GR29">
        <v>0</v>
      </c>
    </row>
    <row r="30" spans="1:200" ht="12.75">
      <c r="A30">
        <v>17</v>
      </c>
      <c r="B30">
        <v>1</v>
      </c>
      <c r="C30">
        <f>ROW(SmtRes!A35)</f>
        <v>35</v>
      </c>
      <c r="D30">
        <f>ROW(EtalonRes!A41)</f>
        <v>41</v>
      </c>
      <c r="E30" t="s">
        <v>66</v>
      </c>
      <c r="F30" t="s">
        <v>67</v>
      </c>
      <c r="G30" t="s">
        <v>68</v>
      </c>
      <c r="H30" t="s">
        <v>69</v>
      </c>
      <c r="I30">
        <v>0.01</v>
      </c>
      <c r="J30">
        <v>0</v>
      </c>
      <c r="O30">
        <f t="shared" si="10"/>
        <v>518</v>
      </c>
      <c r="P30">
        <f t="shared" si="11"/>
        <v>200</v>
      </c>
      <c r="Q30">
        <f t="shared" si="12"/>
        <v>5</v>
      </c>
      <c r="R30">
        <f t="shared" si="13"/>
        <v>0</v>
      </c>
      <c r="S30">
        <f t="shared" si="14"/>
        <v>313</v>
      </c>
      <c r="T30">
        <f t="shared" si="15"/>
        <v>0</v>
      </c>
      <c r="U30">
        <f t="shared" si="16"/>
        <v>2.34</v>
      </c>
      <c r="V30">
        <f t="shared" si="17"/>
        <v>0.005600000000000001</v>
      </c>
      <c r="W30">
        <f t="shared" si="18"/>
        <v>0</v>
      </c>
      <c r="X30">
        <f t="shared" si="19"/>
        <v>274</v>
      </c>
      <c r="Y30">
        <f t="shared" si="20"/>
        <v>150</v>
      </c>
      <c r="AA30">
        <v>26917020</v>
      </c>
      <c r="AB30">
        <f t="shared" si="21"/>
        <v>51838.25</v>
      </c>
      <c r="AC30">
        <f>ROUND((SUM(SmtRes!BQ31:SmtRes!BQ35)),2)</f>
        <v>20000</v>
      </c>
      <c r="AD30">
        <f>ROUND((SUM(SmtRes!BR31:SmtRes!BR35)),2)</f>
        <v>536.07</v>
      </c>
      <c r="AE30">
        <f t="shared" si="22"/>
        <v>0</v>
      </c>
      <c r="AF30">
        <f>ROUND((SUM(SmtRes!BT31:SmtRes!BT35)),2)</f>
        <v>31302.18</v>
      </c>
      <c r="AG30">
        <f t="shared" si="23"/>
        <v>0</v>
      </c>
      <c r="AH30">
        <f>(SUM(SmtRes!BU31:SmtRes!BU35))</f>
        <v>234</v>
      </c>
      <c r="AI30">
        <f>(SUM(SmtRes!BV31:SmtRes!BV35))</f>
        <v>0.56</v>
      </c>
      <c r="AJ30">
        <f t="shared" si="24"/>
        <v>0</v>
      </c>
      <c r="AK30">
        <v>51838.2512</v>
      </c>
      <c r="AL30">
        <v>20000</v>
      </c>
      <c r="AM30">
        <v>536.0712000000001</v>
      </c>
      <c r="AN30">
        <v>0</v>
      </c>
      <c r="AO30">
        <v>31302.180000000004</v>
      </c>
      <c r="AP30">
        <v>0</v>
      </c>
      <c r="AQ30">
        <v>234</v>
      </c>
      <c r="AR30">
        <v>0.56</v>
      </c>
      <c r="AS30">
        <v>0</v>
      </c>
      <c r="AT30">
        <v>87.55</v>
      </c>
      <c r="AU30">
        <v>48</v>
      </c>
      <c r="AV30">
        <v>1</v>
      </c>
      <c r="AW30">
        <v>1</v>
      </c>
      <c r="AZ30">
        <v>1</v>
      </c>
      <c r="BA30">
        <v>1</v>
      </c>
      <c r="BB30">
        <v>1</v>
      </c>
      <c r="BC30">
        <v>1</v>
      </c>
      <c r="BH30">
        <v>0</v>
      </c>
      <c r="BI30">
        <v>1</v>
      </c>
      <c r="BJ30" t="s">
        <v>70</v>
      </c>
      <c r="BM30">
        <v>65007</v>
      </c>
      <c r="BN30">
        <v>0</v>
      </c>
      <c r="BP30">
        <v>0</v>
      </c>
      <c r="BQ30">
        <v>6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103</v>
      </c>
      <c r="CA30">
        <v>60</v>
      </c>
      <c r="CF30">
        <v>0</v>
      </c>
      <c r="CG30">
        <v>0</v>
      </c>
      <c r="CM30">
        <v>0</v>
      </c>
      <c r="CO30">
        <v>0</v>
      </c>
      <c r="CP30">
        <f t="shared" si="25"/>
        <v>518</v>
      </c>
      <c r="CQ30">
        <f t="shared" si="26"/>
        <v>20000</v>
      </c>
      <c r="CR30">
        <f t="shared" si="27"/>
        <v>536.07</v>
      </c>
      <c r="CS30">
        <f t="shared" si="28"/>
        <v>0</v>
      </c>
      <c r="CT30">
        <f t="shared" si="29"/>
        <v>31302.18</v>
      </c>
      <c r="CU30">
        <f t="shared" si="30"/>
        <v>0</v>
      </c>
      <c r="CV30">
        <f t="shared" si="31"/>
        <v>234</v>
      </c>
      <c r="CW30">
        <f t="shared" si="32"/>
        <v>0.56</v>
      </c>
      <c r="CX30">
        <f t="shared" si="33"/>
        <v>0</v>
      </c>
      <c r="CY30">
        <f t="shared" si="34"/>
        <v>274.0315</v>
      </c>
      <c r="CZ30">
        <f t="shared" si="35"/>
        <v>150.23999999999998</v>
      </c>
      <c r="DL30" t="s">
        <v>71</v>
      </c>
      <c r="DM30" t="s">
        <v>72</v>
      </c>
      <c r="DN30">
        <v>0</v>
      </c>
      <c r="DO30">
        <v>0</v>
      </c>
      <c r="DP30">
        <v>1</v>
      </c>
      <c r="DQ30">
        <v>1</v>
      </c>
      <c r="DU30">
        <v>1013</v>
      </c>
      <c r="DV30" t="s">
        <v>69</v>
      </c>
      <c r="DW30" t="s">
        <v>69</v>
      </c>
      <c r="DX30">
        <v>1</v>
      </c>
      <c r="EE30">
        <v>25701140</v>
      </c>
      <c r="EF30">
        <v>6</v>
      </c>
      <c r="EG30" t="s">
        <v>29</v>
      </c>
      <c r="EH30">
        <v>0</v>
      </c>
      <c r="EJ30">
        <v>1</v>
      </c>
      <c r="EK30">
        <v>65007</v>
      </c>
      <c r="EL30" t="s">
        <v>73</v>
      </c>
      <c r="EM30" t="s">
        <v>56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234</v>
      </c>
      <c r="EX30">
        <v>0.56</v>
      </c>
      <c r="EY30">
        <v>0</v>
      </c>
      <c r="FQ30">
        <v>0</v>
      </c>
      <c r="FR30">
        <f t="shared" si="36"/>
        <v>0</v>
      </c>
      <c r="FS30">
        <v>0</v>
      </c>
      <c r="FX30">
        <v>87.55</v>
      </c>
      <c r="FY30">
        <v>48</v>
      </c>
      <c r="GF30">
        <v>1879957795</v>
      </c>
      <c r="GG30">
        <v>2</v>
      </c>
      <c r="GH30">
        <v>1</v>
      </c>
      <c r="GI30">
        <v>-2</v>
      </c>
      <c r="GJ30">
        <v>0</v>
      </c>
      <c r="GK30">
        <f>ROUND(R30*(R12)/100,0)</f>
        <v>0</v>
      </c>
      <c r="GL30">
        <f t="shared" si="37"/>
        <v>0</v>
      </c>
      <c r="GM30">
        <f t="shared" si="38"/>
        <v>942</v>
      </c>
      <c r="GN30">
        <f t="shared" si="39"/>
        <v>942</v>
      </c>
      <c r="GO30">
        <f t="shared" si="40"/>
        <v>0</v>
      </c>
      <c r="GP30">
        <f t="shared" si="41"/>
        <v>0</v>
      </c>
      <c r="GR30">
        <v>0</v>
      </c>
    </row>
    <row r="31" spans="1:200" ht="12.75">
      <c r="A31">
        <v>17</v>
      </c>
      <c r="B31">
        <v>1</v>
      </c>
      <c r="C31">
        <f>ROW(SmtRes!A42)</f>
        <v>42</v>
      </c>
      <c r="D31">
        <f>ROW(EtalonRes!A49)</f>
        <v>49</v>
      </c>
      <c r="E31" t="s">
        <v>74</v>
      </c>
      <c r="F31" t="s">
        <v>75</v>
      </c>
      <c r="G31" t="s">
        <v>76</v>
      </c>
      <c r="H31" t="s">
        <v>77</v>
      </c>
      <c r="I31">
        <v>1.7263</v>
      </c>
      <c r="J31">
        <v>0</v>
      </c>
      <c r="O31">
        <f t="shared" si="10"/>
        <v>2796</v>
      </c>
      <c r="P31">
        <f t="shared" si="11"/>
        <v>1317</v>
      </c>
      <c r="Q31">
        <f t="shared" si="12"/>
        <v>289</v>
      </c>
      <c r="R31">
        <f t="shared" si="13"/>
        <v>0</v>
      </c>
      <c r="S31">
        <f t="shared" si="14"/>
        <v>1190</v>
      </c>
      <c r="T31">
        <f t="shared" si="15"/>
        <v>0</v>
      </c>
      <c r="U31">
        <f t="shared" si="16"/>
        <v>8.790664859999998</v>
      </c>
      <c r="V31">
        <f t="shared" si="17"/>
        <v>0.025894499999999997</v>
      </c>
      <c r="W31">
        <f t="shared" si="18"/>
        <v>0</v>
      </c>
      <c r="X31">
        <f t="shared" si="19"/>
        <v>956</v>
      </c>
      <c r="Y31">
        <f t="shared" si="20"/>
        <v>445</v>
      </c>
      <c r="AA31">
        <v>26917020</v>
      </c>
      <c r="AB31">
        <f t="shared" si="21"/>
        <v>1619.53</v>
      </c>
      <c r="AC31">
        <f>ROUND((SUM(SmtRes!BQ36:SmtRes!BQ42)),2)</f>
        <v>762.97</v>
      </c>
      <c r="AD31">
        <f>ROUND((SUM(SmtRes!BR36:SmtRes!BR42)),2)</f>
        <v>167.28</v>
      </c>
      <c r="AE31">
        <f t="shared" si="22"/>
        <v>0</v>
      </c>
      <c r="AF31">
        <f>ROUND((SUM(SmtRes!BT36:SmtRes!BT42)),2)</f>
        <v>689.28</v>
      </c>
      <c r="AG31">
        <f t="shared" si="23"/>
        <v>0</v>
      </c>
      <c r="AH31">
        <f>(SUM(SmtRes!BU36:SmtRes!BU42))</f>
        <v>5.092199999999999</v>
      </c>
      <c r="AI31">
        <f>(SUM(SmtRes!BV36:SmtRes!BV42))</f>
        <v>0.015</v>
      </c>
      <c r="AJ31">
        <f t="shared" si="24"/>
        <v>0</v>
      </c>
      <c r="AK31">
        <v>1373.9677000000001</v>
      </c>
      <c r="AL31">
        <v>762.9680000000001</v>
      </c>
      <c r="AM31">
        <v>111.5213</v>
      </c>
      <c r="AN31">
        <v>0</v>
      </c>
      <c r="AO31">
        <v>499.4784</v>
      </c>
      <c r="AP31">
        <v>0</v>
      </c>
      <c r="AQ31">
        <v>3.69</v>
      </c>
      <c r="AR31">
        <v>0.01</v>
      </c>
      <c r="AS31">
        <v>0</v>
      </c>
      <c r="AT31">
        <v>80.33</v>
      </c>
      <c r="AU31">
        <v>37.4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1</v>
      </c>
      <c r="BH31">
        <v>0</v>
      </c>
      <c r="BI31">
        <v>1</v>
      </c>
      <c r="BJ31" t="s">
        <v>78</v>
      </c>
      <c r="BM31">
        <v>15001</v>
      </c>
      <c r="BN31">
        <v>0</v>
      </c>
      <c r="BP31">
        <v>0</v>
      </c>
      <c r="BQ31">
        <v>2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105</v>
      </c>
      <c r="CA31">
        <v>55</v>
      </c>
      <c r="CF31">
        <v>0</v>
      </c>
      <c r="CG31">
        <v>0</v>
      </c>
      <c r="CM31">
        <v>0</v>
      </c>
      <c r="CO31">
        <v>0</v>
      </c>
      <c r="CP31">
        <f t="shared" si="25"/>
        <v>2796</v>
      </c>
      <c r="CQ31">
        <f t="shared" si="26"/>
        <v>762.97</v>
      </c>
      <c r="CR31">
        <f t="shared" si="27"/>
        <v>167.28</v>
      </c>
      <c r="CS31">
        <f t="shared" si="28"/>
        <v>0</v>
      </c>
      <c r="CT31">
        <f t="shared" si="29"/>
        <v>689.28</v>
      </c>
      <c r="CU31">
        <f t="shared" si="30"/>
        <v>0</v>
      </c>
      <c r="CV31">
        <f t="shared" si="31"/>
        <v>5.092199999999999</v>
      </c>
      <c r="CW31">
        <f t="shared" si="32"/>
        <v>0.015</v>
      </c>
      <c r="CX31">
        <f t="shared" si="33"/>
        <v>0</v>
      </c>
      <c r="CY31">
        <f t="shared" si="34"/>
        <v>955.927</v>
      </c>
      <c r="CZ31">
        <f t="shared" si="35"/>
        <v>445.06</v>
      </c>
      <c r="DE31" t="s">
        <v>79</v>
      </c>
      <c r="DF31" t="s">
        <v>79</v>
      </c>
      <c r="DG31" t="s">
        <v>80</v>
      </c>
      <c r="DI31" t="s">
        <v>80</v>
      </c>
      <c r="DJ31" t="s">
        <v>79</v>
      </c>
      <c r="DL31" t="s">
        <v>81</v>
      </c>
      <c r="DM31" t="s">
        <v>82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77</v>
      </c>
      <c r="DW31" t="s">
        <v>77</v>
      </c>
      <c r="DX31">
        <v>1</v>
      </c>
      <c r="EE31">
        <v>25701076</v>
      </c>
      <c r="EF31">
        <v>2</v>
      </c>
      <c r="EG31" t="s">
        <v>19</v>
      </c>
      <c r="EH31">
        <v>0</v>
      </c>
      <c r="EJ31">
        <v>1</v>
      </c>
      <c r="EK31">
        <v>15001</v>
      </c>
      <c r="EL31" t="s">
        <v>83</v>
      </c>
      <c r="EM31" t="s">
        <v>84</v>
      </c>
      <c r="EQ31">
        <v>131072</v>
      </c>
      <c r="ER31">
        <v>269.16</v>
      </c>
      <c r="ES31">
        <v>212.29</v>
      </c>
      <c r="ET31">
        <v>23</v>
      </c>
      <c r="EU31">
        <v>0.12</v>
      </c>
      <c r="EV31">
        <v>33.87</v>
      </c>
      <c r="EW31">
        <v>3.69</v>
      </c>
      <c r="EX31">
        <v>0.01</v>
      </c>
      <c r="EY31">
        <v>0</v>
      </c>
      <c r="FQ31">
        <v>0</v>
      </c>
      <c r="FR31">
        <f t="shared" si="36"/>
        <v>0</v>
      </c>
      <c r="FS31">
        <v>0</v>
      </c>
      <c r="FT31" t="s">
        <v>42</v>
      </c>
      <c r="FU31" t="s">
        <v>22</v>
      </c>
      <c r="FX31">
        <v>80.33</v>
      </c>
      <c r="FY31">
        <v>37.4</v>
      </c>
      <c r="GF31">
        <v>-379661545</v>
      </c>
      <c r="GG31">
        <v>2</v>
      </c>
      <c r="GH31">
        <v>1</v>
      </c>
      <c r="GI31">
        <v>-2</v>
      </c>
      <c r="GJ31">
        <v>0</v>
      </c>
      <c r="GK31">
        <f>ROUND(R31*(R12)/100,0)</f>
        <v>0</v>
      </c>
      <c r="GL31">
        <f t="shared" si="37"/>
        <v>0</v>
      </c>
      <c r="GM31">
        <f t="shared" si="38"/>
        <v>4197</v>
      </c>
      <c r="GN31">
        <f t="shared" si="39"/>
        <v>4197</v>
      </c>
      <c r="GO31">
        <f t="shared" si="40"/>
        <v>0</v>
      </c>
      <c r="GP31">
        <f t="shared" si="41"/>
        <v>0</v>
      </c>
      <c r="GR31">
        <v>0</v>
      </c>
    </row>
    <row r="32" spans="1:200" ht="12.75">
      <c r="A32">
        <v>17</v>
      </c>
      <c r="B32">
        <v>1</v>
      </c>
      <c r="C32">
        <f>ROW(SmtRes!A51)</f>
        <v>51</v>
      </c>
      <c r="D32">
        <f>ROW(EtalonRes!A58)</f>
        <v>58</v>
      </c>
      <c r="E32" t="s">
        <v>85</v>
      </c>
      <c r="F32" t="s">
        <v>86</v>
      </c>
      <c r="G32" t="s">
        <v>87</v>
      </c>
      <c r="H32" t="s">
        <v>88</v>
      </c>
      <c r="I32">
        <v>172.63</v>
      </c>
      <c r="J32">
        <v>0</v>
      </c>
      <c r="O32">
        <f t="shared" si="10"/>
        <v>503531</v>
      </c>
      <c r="P32">
        <f t="shared" si="11"/>
        <v>319775</v>
      </c>
      <c r="Q32">
        <f t="shared" si="12"/>
        <v>3100</v>
      </c>
      <c r="R32">
        <f t="shared" si="13"/>
        <v>0</v>
      </c>
      <c r="S32">
        <f t="shared" si="14"/>
        <v>180656</v>
      </c>
      <c r="T32">
        <f t="shared" si="15"/>
        <v>0</v>
      </c>
      <c r="U32">
        <f t="shared" si="16"/>
        <v>1217.352234</v>
      </c>
      <c r="V32">
        <f t="shared" si="17"/>
        <v>2.58945</v>
      </c>
      <c r="W32">
        <f t="shared" si="18"/>
        <v>0</v>
      </c>
      <c r="X32">
        <f t="shared" si="19"/>
        <v>124382</v>
      </c>
      <c r="Y32">
        <f t="shared" si="20"/>
        <v>85992</v>
      </c>
      <c r="AA32">
        <v>26917020</v>
      </c>
      <c r="AB32">
        <f t="shared" si="21"/>
        <v>2916.82</v>
      </c>
      <c r="AC32">
        <f>ROUND((SUM(SmtRes!BQ43:SmtRes!BQ51)),2)</f>
        <v>1852.37</v>
      </c>
      <c r="AD32">
        <f>ROUND((SUM(SmtRes!BR43:SmtRes!BR51)),2)</f>
        <v>17.96</v>
      </c>
      <c r="AE32">
        <f t="shared" si="22"/>
        <v>0</v>
      </c>
      <c r="AF32">
        <f>ROUND((SUM(SmtRes!BT43:SmtRes!BT51)),2)</f>
        <v>1046.49</v>
      </c>
      <c r="AG32">
        <f t="shared" si="23"/>
        <v>0</v>
      </c>
      <c r="AH32">
        <f>(SUM(SmtRes!BU43:SmtRes!BU51))</f>
        <v>7.0518</v>
      </c>
      <c r="AI32">
        <f>(SUM(SmtRes!BV43:SmtRes!BV51))</f>
        <v>0.015</v>
      </c>
      <c r="AJ32">
        <f t="shared" si="24"/>
        <v>0</v>
      </c>
      <c r="AK32">
        <v>2622.6657264</v>
      </c>
      <c r="AL32">
        <v>1852.3651264</v>
      </c>
      <c r="AM32">
        <v>11.976600000000001</v>
      </c>
      <c r="AN32">
        <v>0</v>
      </c>
      <c r="AO32">
        <v>758.3240000000001</v>
      </c>
      <c r="AP32">
        <v>0</v>
      </c>
      <c r="AQ32">
        <v>5.11</v>
      </c>
      <c r="AR32">
        <v>0.01</v>
      </c>
      <c r="AS32">
        <v>0</v>
      </c>
      <c r="AT32">
        <v>68.85</v>
      </c>
      <c r="AU32">
        <v>47.6</v>
      </c>
      <c r="AV32">
        <v>1</v>
      </c>
      <c r="AW32">
        <v>1</v>
      </c>
      <c r="AZ32">
        <v>1</v>
      </c>
      <c r="BA32">
        <v>1</v>
      </c>
      <c r="BB32">
        <v>1</v>
      </c>
      <c r="BC32">
        <v>1</v>
      </c>
      <c r="BH32">
        <v>0</v>
      </c>
      <c r="BI32">
        <v>1</v>
      </c>
      <c r="BJ32" t="s">
        <v>89</v>
      </c>
      <c r="BM32">
        <v>13001</v>
      </c>
      <c r="BN32">
        <v>0</v>
      </c>
      <c r="BP32">
        <v>0</v>
      </c>
      <c r="BQ32">
        <v>2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90</v>
      </c>
      <c r="CA32">
        <v>70</v>
      </c>
      <c r="CF32">
        <v>0</v>
      </c>
      <c r="CG32">
        <v>0</v>
      </c>
      <c r="CM32">
        <v>0</v>
      </c>
      <c r="CO32">
        <v>0</v>
      </c>
      <c r="CP32">
        <f t="shared" si="25"/>
        <v>503531</v>
      </c>
      <c r="CQ32">
        <f t="shared" si="26"/>
        <v>1852.37</v>
      </c>
      <c r="CR32">
        <f t="shared" si="27"/>
        <v>17.96</v>
      </c>
      <c r="CS32">
        <f t="shared" si="28"/>
        <v>0</v>
      </c>
      <c r="CT32">
        <f t="shared" si="29"/>
        <v>1046.49</v>
      </c>
      <c r="CU32">
        <f t="shared" si="30"/>
        <v>0</v>
      </c>
      <c r="CV32">
        <f t="shared" si="31"/>
        <v>7.0518</v>
      </c>
      <c r="CW32">
        <f t="shared" si="32"/>
        <v>0.015</v>
      </c>
      <c r="CX32">
        <f t="shared" si="33"/>
        <v>0</v>
      </c>
      <c r="CY32">
        <f t="shared" si="34"/>
        <v>124381.65599999997</v>
      </c>
      <c r="CZ32">
        <f t="shared" si="35"/>
        <v>85992.25600000001</v>
      </c>
      <c r="DE32" t="s">
        <v>37</v>
      </c>
      <c r="DF32" t="s">
        <v>37</v>
      </c>
      <c r="DG32" t="s">
        <v>38</v>
      </c>
      <c r="DI32" t="s">
        <v>38</v>
      </c>
      <c r="DJ32" t="s">
        <v>37</v>
      </c>
      <c r="DL32" t="s">
        <v>90</v>
      </c>
      <c r="DM32" t="s">
        <v>91</v>
      </c>
      <c r="DN32">
        <v>0</v>
      </c>
      <c r="DO32">
        <v>0</v>
      </c>
      <c r="DP32">
        <v>1</v>
      </c>
      <c r="DQ32">
        <v>1</v>
      </c>
      <c r="DU32">
        <v>1013</v>
      </c>
      <c r="DV32" t="s">
        <v>88</v>
      </c>
      <c r="DW32" t="s">
        <v>88</v>
      </c>
      <c r="DX32">
        <v>1</v>
      </c>
      <c r="EE32">
        <v>25701056</v>
      </c>
      <c r="EF32">
        <v>2</v>
      </c>
      <c r="EG32" t="s">
        <v>19</v>
      </c>
      <c r="EH32">
        <v>0</v>
      </c>
      <c r="EJ32">
        <v>1</v>
      </c>
      <c r="EK32">
        <v>13001</v>
      </c>
      <c r="EL32" t="s">
        <v>92</v>
      </c>
      <c r="EM32" t="s">
        <v>93</v>
      </c>
      <c r="EQ32">
        <v>0</v>
      </c>
      <c r="ER32">
        <v>291.93</v>
      </c>
      <c r="ES32">
        <v>238.73</v>
      </c>
      <c r="ET32">
        <v>1.79</v>
      </c>
      <c r="EU32">
        <v>0.1</v>
      </c>
      <c r="EV32">
        <v>51.41</v>
      </c>
      <c r="EW32">
        <v>5.11</v>
      </c>
      <c r="EX32">
        <v>0.01</v>
      </c>
      <c r="EY32">
        <v>0</v>
      </c>
      <c r="FQ32">
        <v>0</v>
      </c>
      <c r="FR32">
        <f t="shared" si="36"/>
        <v>0</v>
      </c>
      <c r="FS32">
        <v>0</v>
      </c>
      <c r="FT32" t="s">
        <v>42</v>
      </c>
      <c r="FU32" t="s">
        <v>22</v>
      </c>
      <c r="FX32">
        <v>68.85</v>
      </c>
      <c r="FY32">
        <v>47.6</v>
      </c>
      <c r="GF32">
        <v>780656928</v>
      </c>
      <c r="GG32">
        <v>2</v>
      </c>
      <c r="GH32">
        <v>1</v>
      </c>
      <c r="GI32">
        <v>-2</v>
      </c>
      <c r="GJ32">
        <v>0</v>
      </c>
      <c r="GK32">
        <f>ROUND(R32*(R12)/100,0)</f>
        <v>0</v>
      </c>
      <c r="GL32">
        <f t="shared" si="37"/>
        <v>0</v>
      </c>
      <c r="GM32">
        <f t="shared" si="38"/>
        <v>713905</v>
      </c>
      <c r="GN32">
        <f t="shared" si="39"/>
        <v>713905</v>
      </c>
      <c r="GO32">
        <f t="shared" si="40"/>
        <v>0</v>
      </c>
      <c r="GP32">
        <f t="shared" si="41"/>
        <v>0</v>
      </c>
      <c r="GR32">
        <v>0</v>
      </c>
    </row>
    <row r="33" spans="1:200" ht="12.75">
      <c r="A33">
        <v>17</v>
      </c>
      <c r="B33">
        <v>1</v>
      </c>
      <c r="C33">
        <f>ROW(SmtRes!A62)</f>
        <v>62</v>
      </c>
      <c r="D33">
        <f>ROW(EtalonRes!A69)</f>
        <v>69</v>
      </c>
      <c r="E33" t="s">
        <v>94</v>
      </c>
      <c r="F33" t="s">
        <v>95</v>
      </c>
      <c r="G33" t="s">
        <v>96</v>
      </c>
      <c r="H33" t="s">
        <v>97</v>
      </c>
      <c r="I33">
        <v>172.63</v>
      </c>
      <c r="J33">
        <v>0</v>
      </c>
      <c r="O33">
        <f t="shared" si="10"/>
        <v>590563</v>
      </c>
      <c r="P33">
        <f t="shared" si="11"/>
        <v>430382</v>
      </c>
      <c r="Q33">
        <f t="shared" si="12"/>
        <v>18975</v>
      </c>
      <c r="R33">
        <f t="shared" si="13"/>
        <v>0</v>
      </c>
      <c r="S33">
        <f t="shared" si="14"/>
        <v>141206</v>
      </c>
      <c r="T33">
        <f t="shared" si="15"/>
        <v>0</v>
      </c>
      <c r="U33">
        <f t="shared" si="16"/>
        <v>912.4186019999999</v>
      </c>
      <c r="V33">
        <f t="shared" si="17"/>
        <v>36.252300000000005</v>
      </c>
      <c r="W33">
        <f t="shared" si="18"/>
        <v>0</v>
      </c>
      <c r="X33">
        <f t="shared" si="19"/>
        <v>97220</v>
      </c>
      <c r="Y33">
        <f t="shared" si="20"/>
        <v>67214</v>
      </c>
      <c r="AA33">
        <v>26917020</v>
      </c>
      <c r="AB33">
        <f t="shared" si="21"/>
        <v>3420.98</v>
      </c>
      <c r="AC33">
        <f>ROUND((SUM(SmtRes!BQ52:SmtRes!BQ62)),2)</f>
        <v>2493.09</v>
      </c>
      <c r="AD33">
        <f>ROUND((SUM(SmtRes!BR52:SmtRes!BR62)),2)</f>
        <v>109.92</v>
      </c>
      <c r="AE33">
        <f t="shared" si="22"/>
        <v>0</v>
      </c>
      <c r="AF33">
        <f>ROUND((SUM(SmtRes!BT52:SmtRes!BT62)),2)</f>
        <v>817.97</v>
      </c>
      <c r="AG33">
        <f t="shared" si="23"/>
        <v>0</v>
      </c>
      <c r="AH33">
        <f>(SUM(SmtRes!BU52:SmtRes!BU62))</f>
        <v>5.285399999999999</v>
      </c>
      <c r="AI33">
        <f>(SUM(SmtRes!BV52:SmtRes!BV62))</f>
        <v>0.21000000000000002</v>
      </c>
      <c r="AJ33">
        <f t="shared" si="24"/>
        <v>0</v>
      </c>
      <c r="AK33">
        <v>3159.0989855</v>
      </c>
      <c r="AL33">
        <v>2493.0892855</v>
      </c>
      <c r="AM33">
        <v>73.2789</v>
      </c>
      <c r="AN33">
        <v>0</v>
      </c>
      <c r="AO33">
        <v>592.7307999999999</v>
      </c>
      <c r="AP33">
        <v>0</v>
      </c>
      <c r="AQ33">
        <v>3.83</v>
      </c>
      <c r="AR33">
        <v>0.14</v>
      </c>
      <c r="AS33">
        <v>0</v>
      </c>
      <c r="AT33">
        <v>68.85</v>
      </c>
      <c r="AU33">
        <v>47.6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1</v>
      </c>
      <c r="BH33">
        <v>0</v>
      </c>
      <c r="BI33">
        <v>1</v>
      </c>
      <c r="BJ33" t="s">
        <v>98</v>
      </c>
      <c r="BM33">
        <v>13001</v>
      </c>
      <c r="BN33">
        <v>0</v>
      </c>
      <c r="BP33">
        <v>0</v>
      </c>
      <c r="BQ33">
        <v>2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90</v>
      </c>
      <c r="CA33">
        <v>70</v>
      </c>
      <c r="CF33">
        <v>0</v>
      </c>
      <c r="CG33">
        <v>0</v>
      </c>
      <c r="CM33">
        <v>0</v>
      </c>
      <c r="CO33">
        <v>0</v>
      </c>
      <c r="CP33">
        <f t="shared" si="25"/>
        <v>590563</v>
      </c>
      <c r="CQ33">
        <f t="shared" si="26"/>
        <v>2493.09</v>
      </c>
      <c r="CR33">
        <f t="shared" si="27"/>
        <v>109.92</v>
      </c>
      <c r="CS33">
        <f t="shared" si="28"/>
        <v>0</v>
      </c>
      <c r="CT33">
        <f t="shared" si="29"/>
        <v>817.97</v>
      </c>
      <c r="CU33">
        <f t="shared" si="30"/>
        <v>0</v>
      </c>
      <c r="CV33">
        <f t="shared" si="31"/>
        <v>5.285399999999999</v>
      </c>
      <c r="CW33">
        <f t="shared" si="32"/>
        <v>0.21000000000000002</v>
      </c>
      <c r="CX33">
        <f t="shared" si="33"/>
        <v>0</v>
      </c>
      <c r="CY33">
        <f t="shared" si="34"/>
        <v>97220.33099999999</v>
      </c>
      <c r="CZ33">
        <f t="shared" si="35"/>
        <v>67214.05600000001</v>
      </c>
      <c r="DE33" t="s">
        <v>37</v>
      </c>
      <c r="DF33" t="s">
        <v>37</v>
      </c>
      <c r="DG33" t="s">
        <v>38</v>
      </c>
      <c r="DI33" t="s">
        <v>38</v>
      </c>
      <c r="DJ33" t="s">
        <v>37</v>
      </c>
      <c r="DL33" t="s">
        <v>90</v>
      </c>
      <c r="DM33" t="s">
        <v>91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97</v>
      </c>
      <c r="DW33" t="s">
        <v>97</v>
      </c>
      <c r="DX33">
        <v>1</v>
      </c>
      <c r="EE33">
        <v>25701056</v>
      </c>
      <c r="EF33">
        <v>2</v>
      </c>
      <c r="EG33" t="s">
        <v>19</v>
      </c>
      <c r="EH33">
        <v>0</v>
      </c>
      <c r="EJ33">
        <v>1</v>
      </c>
      <c r="EK33">
        <v>13001</v>
      </c>
      <c r="EL33" t="s">
        <v>92</v>
      </c>
      <c r="EM33" t="s">
        <v>93</v>
      </c>
      <c r="EQ33">
        <v>0</v>
      </c>
      <c r="ER33">
        <v>214.21</v>
      </c>
      <c r="ES33">
        <v>164.59</v>
      </c>
      <c r="ET33">
        <v>9.4</v>
      </c>
      <c r="EU33">
        <v>1.41</v>
      </c>
      <c r="EV33">
        <v>40.22</v>
      </c>
      <c r="EW33">
        <v>3.83</v>
      </c>
      <c r="EX33">
        <v>0.14</v>
      </c>
      <c r="EY33">
        <v>0</v>
      </c>
      <c r="FQ33">
        <v>0</v>
      </c>
      <c r="FR33">
        <f t="shared" si="36"/>
        <v>0</v>
      </c>
      <c r="FS33">
        <v>0</v>
      </c>
      <c r="FT33" t="s">
        <v>42</v>
      </c>
      <c r="FU33" t="s">
        <v>22</v>
      </c>
      <c r="FX33">
        <v>68.85</v>
      </c>
      <c r="FY33">
        <v>47.6</v>
      </c>
      <c r="GF33">
        <v>-1587280513</v>
      </c>
      <c r="GG33">
        <v>2</v>
      </c>
      <c r="GH33">
        <v>1</v>
      </c>
      <c r="GI33">
        <v>-2</v>
      </c>
      <c r="GJ33">
        <v>0</v>
      </c>
      <c r="GK33">
        <f>ROUND(R33*(R12)/100,0)</f>
        <v>0</v>
      </c>
      <c r="GL33">
        <f t="shared" si="37"/>
        <v>0</v>
      </c>
      <c r="GM33">
        <f t="shared" si="38"/>
        <v>754997</v>
      </c>
      <c r="GN33">
        <f t="shared" si="39"/>
        <v>754997</v>
      </c>
      <c r="GO33">
        <f t="shared" si="40"/>
        <v>0</v>
      </c>
      <c r="GP33">
        <f t="shared" si="41"/>
        <v>0</v>
      </c>
      <c r="GR33">
        <v>0</v>
      </c>
    </row>
    <row r="34" spans="1:200" ht="12.75">
      <c r="A34">
        <v>17</v>
      </c>
      <c r="B34">
        <v>1</v>
      </c>
      <c r="C34">
        <f>ROW(SmtRes!A72)</f>
        <v>72</v>
      </c>
      <c r="D34">
        <f>ROW(EtalonRes!A80)</f>
        <v>80</v>
      </c>
      <c r="E34" t="s">
        <v>99</v>
      </c>
      <c r="F34" t="s">
        <v>100</v>
      </c>
      <c r="G34" t="s">
        <v>101</v>
      </c>
      <c r="H34" t="s">
        <v>102</v>
      </c>
      <c r="I34">
        <v>172.63</v>
      </c>
      <c r="J34">
        <v>0</v>
      </c>
      <c r="O34">
        <f t="shared" si="10"/>
        <v>136428</v>
      </c>
      <c r="P34">
        <f t="shared" si="11"/>
        <v>53638</v>
      </c>
      <c r="Q34">
        <f t="shared" si="12"/>
        <v>4628</v>
      </c>
      <c r="R34">
        <f t="shared" si="13"/>
        <v>0</v>
      </c>
      <c r="S34">
        <f t="shared" si="14"/>
        <v>78162</v>
      </c>
      <c r="T34">
        <f t="shared" si="15"/>
        <v>0</v>
      </c>
      <c r="U34">
        <f t="shared" si="16"/>
        <v>505.04632799999996</v>
      </c>
      <c r="V34">
        <f t="shared" si="17"/>
        <v>12.947249999999999</v>
      </c>
      <c r="W34">
        <f t="shared" si="18"/>
        <v>0</v>
      </c>
      <c r="X34">
        <f t="shared" si="19"/>
        <v>53815</v>
      </c>
      <c r="Y34">
        <f t="shared" si="20"/>
        <v>37205</v>
      </c>
      <c r="AA34">
        <v>26917020</v>
      </c>
      <c r="AB34">
        <f t="shared" si="21"/>
        <v>790.29</v>
      </c>
      <c r="AC34">
        <f>ROUND((SUM(SmtRes!BQ63:SmtRes!BQ72)),2)</f>
        <v>310.71</v>
      </c>
      <c r="AD34">
        <f>ROUND((SUM(SmtRes!BR63:SmtRes!BR72)),2)</f>
        <v>26.81</v>
      </c>
      <c r="AE34">
        <f t="shared" si="22"/>
        <v>0</v>
      </c>
      <c r="AF34">
        <f>ROUND((SUM(SmtRes!BT63:SmtRes!BT72)),2)</f>
        <v>452.77</v>
      </c>
      <c r="AG34">
        <f t="shared" si="23"/>
        <v>0</v>
      </c>
      <c r="AH34">
        <f>(SUM(SmtRes!BU63:SmtRes!BU72))</f>
        <v>2.9255999999999998</v>
      </c>
      <c r="AI34">
        <f>(SUM(SmtRes!BV63:SmtRes!BV72))</f>
        <v>0.075</v>
      </c>
      <c r="AJ34">
        <f t="shared" si="24"/>
        <v>0</v>
      </c>
      <c r="AK34">
        <v>656.6710760000001</v>
      </c>
      <c r="AL34">
        <v>310.70707600000003</v>
      </c>
      <c r="AM34">
        <v>17.8728</v>
      </c>
      <c r="AN34">
        <v>0</v>
      </c>
      <c r="AO34">
        <v>328.0912</v>
      </c>
      <c r="AP34">
        <v>0</v>
      </c>
      <c r="AQ34">
        <v>2.12</v>
      </c>
      <c r="AR34">
        <v>0.05</v>
      </c>
      <c r="AS34">
        <v>0</v>
      </c>
      <c r="AT34">
        <v>68.85</v>
      </c>
      <c r="AU34">
        <v>47.6</v>
      </c>
      <c r="AV34">
        <v>1</v>
      </c>
      <c r="AW34">
        <v>1</v>
      </c>
      <c r="AZ34">
        <v>1</v>
      </c>
      <c r="BA34">
        <v>1</v>
      </c>
      <c r="BB34">
        <v>1</v>
      </c>
      <c r="BC34">
        <v>1</v>
      </c>
      <c r="BH34">
        <v>0</v>
      </c>
      <c r="BI34">
        <v>1</v>
      </c>
      <c r="BJ34" t="s">
        <v>103</v>
      </c>
      <c r="BM34">
        <v>13001</v>
      </c>
      <c r="BN34">
        <v>0</v>
      </c>
      <c r="BP34">
        <v>0</v>
      </c>
      <c r="BQ34">
        <v>2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90</v>
      </c>
      <c r="CA34">
        <v>70</v>
      </c>
      <c r="CF34">
        <v>0</v>
      </c>
      <c r="CG34">
        <v>0</v>
      </c>
      <c r="CM34">
        <v>0</v>
      </c>
      <c r="CO34">
        <v>0</v>
      </c>
      <c r="CP34">
        <f t="shared" si="25"/>
        <v>136428</v>
      </c>
      <c r="CQ34">
        <f t="shared" si="26"/>
        <v>310.71</v>
      </c>
      <c r="CR34">
        <f t="shared" si="27"/>
        <v>26.81</v>
      </c>
      <c r="CS34">
        <f t="shared" si="28"/>
        <v>0</v>
      </c>
      <c r="CT34">
        <f t="shared" si="29"/>
        <v>452.77</v>
      </c>
      <c r="CU34">
        <f t="shared" si="30"/>
        <v>0</v>
      </c>
      <c r="CV34">
        <f t="shared" si="31"/>
        <v>2.9255999999999998</v>
      </c>
      <c r="CW34">
        <f t="shared" si="32"/>
        <v>0.075</v>
      </c>
      <c r="CX34">
        <f t="shared" si="33"/>
        <v>0</v>
      </c>
      <c r="CY34">
        <f t="shared" si="34"/>
        <v>53814.53699999999</v>
      </c>
      <c r="CZ34">
        <f t="shared" si="35"/>
        <v>37205.112</v>
      </c>
      <c r="DE34" t="s">
        <v>37</v>
      </c>
      <c r="DF34" t="s">
        <v>37</v>
      </c>
      <c r="DG34" t="s">
        <v>38</v>
      </c>
      <c r="DI34" t="s">
        <v>38</v>
      </c>
      <c r="DJ34" t="s">
        <v>37</v>
      </c>
      <c r="DL34" t="s">
        <v>90</v>
      </c>
      <c r="DM34" t="s">
        <v>91</v>
      </c>
      <c r="DN34">
        <v>0</v>
      </c>
      <c r="DO34">
        <v>0</v>
      </c>
      <c r="DP34">
        <v>1</v>
      </c>
      <c r="DQ34">
        <v>1</v>
      </c>
      <c r="DU34">
        <v>1013</v>
      </c>
      <c r="DV34" t="s">
        <v>102</v>
      </c>
      <c r="DW34" t="s">
        <v>102</v>
      </c>
      <c r="DX34">
        <v>1</v>
      </c>
      <c r="EE34">
        <v>25701056</v>
      </c>
      <c r="EF34">
        <v>2</v>
      </c>
      <c r="EG34" t="s">
        <v>19</v>
      </c>
      <c r="EH34">
        <v>0</v>
      </c>
      <c r="EJ34">
        <v>1</v>
      </c>
      <c r="EK34">
        <v>13001</v>
      </c>
      <c r="EL34" t="s">
        <v>92</v>
      </c>
      <c r="EM34" t="s">
        <v>93</v>
      </c>
      <c r="EQ34">
        <v>0</v>
      </c>
      <c r="ER34">
        <v>58.11</v>
      </c>
      <c r="ES34">
        <v>33.58</v>
      </c>
      <c r="ET34">
        <v>2.27</v>
      </c>
      <c r="EU34">
        <v>0.5</v>
      </c>
      <c r="EV34">
        <v>22.26</v>
      </c>
      <c r="EW34">
        <v>2.12</v>
      </c>
      <c r="EX34">
        <v>0.05</v>
      </c>
      <c r="EY34">
        <v>0</v>
      </c>
      <c r="FQ34">
        <v>0</v>
      </c>
      <c r="FR34">
        <f t="shared" si="36"/>
        <v>0</v>
      </c>
      <c r="FS34">
        <v>0</v>
      </c>
      <c r="FT34" t="s">
        <v>42</v>
      </c>
      <c r="FU34" t="s">
        <v>22</v>
      </c>
      <c r="FX34">
        <v>68.85</v>
      </c>
      <c r="FY34">
        <v>47.6</v>
      </c>
      <c r="GF34">
        <v>-1090982585</v>
      </c>
      <c r="GG34">
        <v>2</v>
      </c>
      <c r="GH34">
        <v>1</v>
      </c>
      <c r="GI34">
        <v>-2</v>
      </c>
      <c r="GJ34">
        <v>0</v>
      </c>
      <c r="GK34">
        <f>ROUND(R34*(R12)/100,0)</f>
        <v>0</v>
      </c>
      <c r="GL34">
        <f t="shared" si="37"/>
        <v>0</v>
      </c>
      <c r="GM34">
        <f t="shared" si="38"/>
        <v>227448</v>
      </c>
      <c r="GN34">
        <f t="shared" si="39"/>
        <v>227448</v>
      </c>
      <c r="GO34">
        <f t="shared" si="40"/>
        <v>0</v>
      </c>
      <c r="GP34">
        <f t="shared" si="41"/>
        <v>0</v>
      </c>
      <c r="GR34">
        <v>0</v>
      </c>
    </row>
    <row r="35" spans="1:200" ht="12.75">
      <c r="A35">
        <v>17</v>
      </c>
      <c r="B35">
        <v>1</v>
      </c>
      <c r="C35">
        <f>ROW(SmtRes!A74)</f>
        <v>74</v>
      </c>
      <c r="D35">
        <f>ROW(EtalonRes!A82)</f>
        <v>82</v>
      </c>
      <c r="E35" t="s">
        <v>104</v>
      </c>
      <c r="F35" t="s">
        <v>105</v>
      </c>
      <c r="G35" t="s">
        <v>106</v>
      </c>
      <c r="H35" t="s">
        <v>107</v>
      </c>
      <c r="I35">
        <v>0.315</v>
      </c>
      <c r="J35">
        <v>0</v>
      </c>
      <c r="O35">
        <f t="shared" si="10"/>
        <v>7220</v>
      </c>
      <c r="P35">
        <f t="shared" si="11"/>
        <v>0</v>
      </c>
      <c r="Q35">
        <f t="shared" si="12"/>
        <v>0</v>
      </c>
      <c r="R35">
        <f t="shared" si="13"/>
        <v>0</v>
      </c>
      <c r="S35">
        <f t="shared" si="14"/>
        <v>7220</v>
      </c>
      <c r="T35">
        <f t="shared" si="15"/>
        <v>0</v>
      </c>
      <c r="U35">
        <f t="shared" si="16"/>
        <v>67.5108</v>
      </c>
      <c r="V35">
        <f t="shared" si="17"/>
        <v>0</v>
      </c>
      <c r="W35">
        <f t="shared" si="18"/>
        <v>0</v>
      </c>
      <c r="X35">
        <f t="shared" si="19"/>
        <v>4787</v>
      </c>
      <c r="Y35">
        <f t="shared" si="20"/>
        <v>2888</v>
      </c>
      <c r="AA35">
        <v>26917020</v>
      </c>
      <c r="AB35">
        <f t="shared" si="21"/>
        <v>22921.52</v>
      </c>
      <c r="AC35">
        <f>ROUND((0),2)</f>
        <v>0</v>
      </c>
      <c r="AD35">
        <f>ROUND((0),2)</f>
        <v>0</v>
      </c>
      <c r="AE35">
        <f t="shared" si="22"/>
        <v>0</v>
      </c>
      <c r="AF35">
        <f>ROUND((SUM(SmtRes!BT73:SmtRes!BT74)),2)</f>
        <v>22921.52</v>
      </c>
      <c r="AG35">
        <f t="shared" si="23"/>
        <v>0</v>
      </c>
      <c r="AH35">
        <f>(SUM(SmtRes!BU73:SmtRes!BU74))</f>
        <v>214.32</v>
      </c>
      <c r="AI35">
        <f>(0)</f>
        <v>0</v>
      </c>
      <c r="AJ35">
        <f t="shared" si="24"/>
        <v>0</v>
      </c>
      <c r="AK35">
        <v>22921.524</v>
      </c>
      <c r="AL35">
        <v>0</v>
      </c>
      <c r="AM35">
        <v>0</v>
      </c>
      <c r="AN35">
        <v>0</v>
      </c>
      <c r="AO35">
        <v>22921.524</v>
      </c>
      <c r="AP35">
        <v>0</v>
      </c>
      <c r="AQ35">
        <v>214.32</v>
      </c>
      <c r="AR35">
        <v>0</v>
      </c>
      <c r="AS35">
        <v>0</v>
      </c>
      <c r="AT35">
        <v>66.3</v>
      </c>
      <c r="AU35">
        <v>40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1</v>
      </c>
      <c r="BH35">
        <v>0</v>
      </c>
      <c r="BI35">
        <v>1</v>
      </c>
      <c r="BJ35" t="s">
        <v>108</v>
      </c>
      <c r="BM35">
        <v>69001</v>
      </c>
      <c r="BN35">
        <v>0</v>
      </c>
      <c r="BP35">
        <v>0</v>
      </c>
      <c r="BQ35">
        <v>6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78</v>
      </c>
      <c r="CA35">
        <v>50</v>
      </c>
      <c r="CF35">
        <v>0</v>
      </c>
      <c r="CG35">
        <v>0</v>
      </c>
      <c r="CM35">
        <v>0</v>
      </c>
      <c r="CO35">
        <v>0</v>
      </c>
      <c r="CP35">
        <f t="shared" si="25"/>
        <v>7220</v>
      </c>
      <c r="CQ35">
        <f t="shared" si="26"/>
        <v>0</v>
      </c>
      <c r="CR35">
        <f t="shared" si="27"/>
        <v>0</v>
      </c>
      <c r="CS35">
        <f t="shared" si="28"/>
        <v>0</v>
      </c>
      <c r="CT35">
        <f t="shared" si="29"/>
        <v>22921.52</v>
      </c>
      <c r="CU35">
        <f t="shared" si="30"/>
        <v>0</v>
      </c>
      <c r="CV35">
        <f t="shared" si="31"/>
        <v>214.32</v>
      </c>
      <c r="CW35">
        <f t="shared" si="32"/>
        <v>0</v>
      </c>
      <c r="CX35">
        <f t="shared" si="33"/>
        <v>0</v>
      </c>
      <c r="CY35">
        <f t="shared" si="34"/>
        <v>4786.86</v>
      </c>
      <c r="CZ35">
        <f t="shared" si="35"/>
        <v>2888</v>
      </c>
      <c r="DL35" t="s">
        <v>109</v>
      </c>
      <c r="DM35" t="s">
        <v>54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107</v>
      </c>
      <c r="DW35" t="s">
        <v>107</v>
      </c>
      <c r="DX35">
        <v>1</v>
      </c>
      <c r="EE35">
        <v>25701158</v>
      </c>
      <c r="EF35">
        <v>6</v>
      </c>
      <c r="EG35" t="s">
        <v>29</v>
      </c>
      <c r="EH35">
        <v>0</v>
      </c>
      <c r="EJ35">
        <v>1</v>
      </c>
      <c r="EK35">
        <v>69001</v>
      </c>
      <c r="EL35" t="s">
        <v>110</v>
      </c>
      <c r="EM35" t="s">
        <v>111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214.32</v>
      </c>
      <c r="EX35">
        <v>0</v>
      </c>
      <c r="EY35">
        <v>0</v>
      </c>
      <c r="FQ35">
        <v>0</v>
      </c>
      <c r="FR35">
        <f t="shared" si="36"/>
        <v>0</v>
      </c>
      <c r="FS35">
        <v>0</v>
      </c>
      <c r="FX35">
        <v>66.3</v>
      </c>
      <c r="FY35">
        <v>40</v>
      </c>
      <c r="GF35">
        <v>-1397501103</v>
      </c>
      <c r="GG35">
        <v>2</v>
      </c>
      <c r="GH35">
        <v>1</v>
      </c>
      <c r="GI35">
        <v>-2</v>
      </c>
      <c r="GJ35">
        <v>0</v>
      </c>
      <c r="GK35">
        <f>ROUND(R35*(R12)/100,0)</f>
        <v>0</v>
      </c>
      <c r="GL35">
        <f t="shared" si="37"/>
        <v>0</v>
      </c>
      <c r="GM35">
        <f t="shared" si="38"/>
        <v>14895</v>
      </c>
      <c r="GN35">
        <f t="shared" si="39"/>
        <v>14895</v>
      </c>
      <c r="GO35">
        <f t="shared" si="40"/>
        <v>0</v>
      </c>
      <c r="GP35">
        <f t="shared" si="41"/>
        <v>0</v>
      </c>
      <c r="GR35">
        <v>0</v>
      </c>
    </row>
    <row r="36" spans="1:200" ht="12.75">
      <c r="A36">
        <v>17</v>
      </c>
      <c r="B36">
        <v>1</v>
      </c>
      <c r="C36">
        <f>ROW(SmtRes!A76)</f>
        <v>76</v>
      </c>
      <c r="D36">
        <f>ROW(EtalonRes!A84)</f>
        <v>84</v>
      </c>
      <c r="E36" t="s">
        <v>112</v>
      </c>
      <c r="F36" t="s">
        <v>113</v>
      </c>
      <c r="G36" t="s">
        <v>114</v>
      </c>
      <c r="H36" t="s">
        <v>115</v>
      </c>
      <c r="I36">
        <v>31.5</v>
      </c>
      <c r="J36">
        <v>0</v>
      </c>
      <c r="O36">
        <f t="shared" si="10"/>
        <v>535</v>
      </c>
      <c r="P36">
        <f t="shared" si="11"/>
        <v>0</v>
      </c>
      <c r="Q36">
        <f t="shared" si="12"/>
        <v>535</v>
      </c>
      <c r="R36">
        <f t="shared" si="13"/>
        <v>0</v>
      </c>
      <c r="S36">
        <f t="shared" si="14"/>
        <v>0</v>
      </c>
      <c r="T36">
        <f t="shared" si="15"/>
        <v>0</v>
      </c>
      <c r="U36">
        <f t="shared" si="16"/>
        <v>0</v>
      </c>
      <c r="V36">
        <f t="shared" si="17"/>
        <v>0.756</v>
      </c>
      <c r="W36">
        <f t="shared" si="18"/>
        <v>0</v>
      </c>
      <c r="X36">
        <f t="shared" si="19"/>
        <v>0</v>
      </c>
      <c r="Y36">
        <f t="shared" si="20"/>
        <v>0</v>
      </c>
      <c r="AA36">
        <v>26917020</v>
      </c>
      <c r="AB36">
        <f t="shared" si="21"/>
        <v>16.99</v>
      </c>
      <c r="AC36">
        <f>ROUND((0),2)</f>
        <v>0</v>
      </c>
      <c r="AD36">
        <f>ROUND((SUM(SmtRes!BR75:SmtRes!BR76)),2)</f>
        <v>16.99</v>
      </c>
      <c r="AE36">
        <f t="shared" si="22"/>
        <v>0</v>
      </c>
      <c r="AF36">
        <f>ROUND((0),2)</f>
        <v>0</v>
      </c>
      <c r="AG36">
        <f t="shared" si="23"/>
        <v>0</v>
      </c>
      <c r="AH36">
        <f>(0)</f>
        <v>0</v>
      </c>
      <c r="AI36">
        <f>(SUM(SmtRes!BV75:SmtRes!BV76))</f>
        <v>0.024</v>
      </c>
      <c r="AJ36">
        <f t="shared" si="24"/>
        <v>0</v>
      </c>
      <c r="AK36">
        <v>16.98672</v>
      </c>
      <c r="AL36">
        <v>0</v>
      </c>
      <c r="AM36">
        <v>16.98672</v>
      </c>
      <c r="AN36">
        <v>0</v>
      </c>
      <c r="AO36">
        <v>0</v>
      </c>
      <c r="AP36">
        <v>0</v>
      </c>
      <c r="AQ36">
        <v>0</v>
      </c>
      <c r="AR36">
        <v>0.024</v>
      </c>
      <c r="AS36">
        <v>0</v>
      </c>
      <c r="AT36">
        <v>85</v>
      </c>
      <c r="AU36">
        <v>48</v>
      </c>
      <c r="AV36">
        <v>1</v>
      </c>
      <c r="AW36">
        <v>1</v>
      </c>
      <c r="AZ36">
        <v>1</v>
      </c>
      <c r="BA36">
        <v>1</v>
      </c>
      <c r="BB36">
        <v>1</v>
      </c>
      <c r="BC36">
        <v>1</v>
      </c>
      <c r="BH36">
        <v>0</v>
      </c>
      <c r="BI36">
        <v>1</v>
      </c>
      <c r="BJ36" t="s">
        <v>116</v>
      </c>
      <c r="BM36">
        <v>1201</v>
      </c>
      <c r="BN36">
        <v>0</v>
      </c>
      <c r="BP36">
        <v>0</v>
      </c>
      <c r="BQ36">
        <v>2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100</v>
      </c>
      <c r="CA36">
        <v>60</v>
      </c>
      <c r="CF36">
        <v>0</v>
      </c>
      <c r="CG36">
        <v>0</v>
      </c>
      <c r="CM36">
        <v>0</v>
      </c>
      <c r="CO36">
        <v>0</v>
      </c>
      <c r="CP36">
        <f t="shared" si="25"/>
        <v>535</v>
      </c>
      <c r="CQ36">
        <f t="shared" si="26"/>
        <v>0</v>
      </c>
      <c r="CR36">
        <f t="shared" si="27"/>
        <v>16.99</v>
      </c>
      <c r="CS36">
        <f t="shared" si="28"/>
        <v>0</v>
      </c>
      <c r="CT36">
        <f t="shared" si="29"/>
        <v>0</v>
      </c>
      <c r="CU36">
        <f t="shared" si="30"/>
        <v>0</v>
      </c>
      <c r="CV36">
        <f t="shared" si="31"/>
        <v>0</v>
      </c>
      <c r="CW36">
        <f t="shared" si="32"/>
        <v>0.024</v>
      </c>
      <c r="CX36">
        <f t="shared" si="33"/>
        <v>0</v>
      </c>
      <c r="CY36">
        <f>((S36+R36)*(ROUND(FX36,IF(0,0,2))/100))</f>
        <v>0</v>
      </c>
      <c r="CZ36">
        <f>((S36+R36)*(ROUND((FY36*1),IF(0,0,2))/100))</f>
        <v>0</v>
      </c>
      <c r="DL36" t="s">
        <v>117</v>
      </c>
      <c r="DM36" t="s">
        <v>72</v>
      </c>
      <c r="DN36">
        <v>0</v>
      </c>
      <c r="DO36">
        <v>0</v>
      </c>
      <c r="DP36">
        <v>1</v>
      </c>
      <c r="DQ36">
        <v>1</v>
      </c>
      <c r="DU36">
        <v>1009</v>
      </c>
      <c r="DV36" t="s">
        <v>115</v>
      </c>
      <c r="DW36" t="s">
        <v>115</v>
      </c>
      <c r="DX36">
        <v>1000</v>
      </c>
      <c r="EE36">
        <v>25701027</v>
      </c>
      <c r="EF36">
        <v>2</v>
      </c>
      <c r="EG36" t="s">
        <v>19</v>
      </c>
      <c r="EH36">
        <v>0</v>
      </c>
      <c r="EJ36">
        <v>1</v>
      </c>
      <c r="EK36">
        <v>1201</v>
      </c>
      <c r="EL36" t="s">
        <v>118</v>
      </c>
      <c r="EM36" t="s">
        <v>119</v>
      </c>
      <c r="EQ36">
        <v>0</v>
      </c>
      <c r="ER36">
        <v>3.02</v>
      </c>
      <c r="ES36">
        <v>0</v>
      </c>
      <c r="ET36">
        <v>3.02</v>
      </c>
      <c r="EU36">
        <v>0.32</v>
      </c>
      <c r="EV36">
        <v>0</v>
      </c>
      <c r="EW36">
        <v>0</v>
      </c>
      <c r="EX36">
        <v>0.024</v>
      </c>
      <c r="EY36">
        <v>0</v>
      </c>
      <c r="FQ36">
        <v>0</v>
      </c>
      <c r="FR36">
        <f t="shared" si="36"/>
        <v>0</v>
      </c>
      <c r="FS36">
        <v>0</v>
      </c>
      <c r="FX36">
        <v>85</v>
      </c>
      <c r="FY36">
        <v>48</v>
      </c>
      <c r="GF36">
        <v>651143524</v>
      </c>
      <c r="GG36">
        <v>2</v>
      </c>
      <c r="GH36">
        <v>2</v>
      </c>
      <c r="GI36">
        <v>-2</v>
      </c>
      <c r="GJ36">
        <v>0</v>
      </c>
      <c r="GK36">
        <f>ROUND(R36*(R12)/100,0)</f>
        <v>0</v>
      </c>
      <c r="GL36">
        <f t="shared" si="37"/>
        <v>0</v>
      </c>
      <c r="GM36">
        <f t="shared" si="38"/>
        <v>535</v>
      </c>
      <c r="GN36">
        <f t="shared" si="39"/>
        <v>535</v>
      </c>
      <c r="GO36">
        <f t="shared" si="40"/>
        <v>0</v>
      </c>
      <c r="GP36">
        <f t="shared" si="41"/>
        <v>0</v>
      </c>
      <c r="GR36">
        <v>0</v>
      </c>
    </row>
    <row r="37" spans="1:200" ht="12.75">
      <c r="A37">
        <v>17</v>
      </c>
      <c r="B37">
        <v>1</v>
      </c>
      <c r="C37">
        <f>ROW(SmtRes!A77)</f>
        <v>77</v>
      </c>
      <c r="E37" t="s">
        <v>120</v>
      </c>
      <c r="F37" t="s">
        <v>121</v>
      </c>
      <c r="G37" t="s">
        <v>122</v>
      </c>
      <c r="H37" t="s">
        <v>115</v>
      </c>
      <c r="I37">
        <v>31.5</v>
      </c>
      <c r="J37">
        <v>0</v>
      </c>
      <c r="O37">
        <f t="shared" si="10"/>
        <v>5612</v>
      </c>
      <c r="P37">
        <f t="shared" si="11"/>
        <v>0</v>
      </c>
      <c r="Q37">
        <f t="shared" si="12"/>
        <v>5612</v>
      </c>
      <c r="R37">
        <f t="shared" si="13"/>
        <v>0</v>
      </c>
      <c r="S37">
        <f t="shared" si="14"/>
        <v>0</v>
      </c>
      <c r="T37">
        <f t="shared" si="15"/>
        <v>0</v>
      </c>
      <c r="U37">
        <f t="shared" si="16"/>
        <v>0</v>
      </c>
      <c r="V37">
        <f t="shared" si="17"/>
        <v>0</v>
      </c>
      <c r="W37">
        <f t="shared" si="18"/>
        <v>0</v>
      </c>
      <c r="X37">
        <f t="shared" si="19"/>
        <v>0</v>
      </c>
      <c r="Y37">
        <f t="shared" si="20"/>
        <v>0</v>
      </c>
      <c r="AA37">
        <v>26917020</v>
      </c>
      <c r="AB37">
        <f t="shared" si="21"/>
        <v>178.15</v>
      </c>
      <c r="AC37">
        <f>ROUND((0),2)</f>
        <v>0</v>
      </c>
      <c r="AD37">
        <f>ROUND((SUM(SmtRes!BR77:SmtRes!BR77)),2)</f>
        <v>178.15</v>
      </c>
      <c r="AE37">
        <f t="shared" si="22"/>
        <v>0</v>
      </c>
      <c r="AF37">
        <f>ROUND((0),2)</f>
        <v>0</v>
      </c>
      <c r="AG37">
        <f t="shared" si="23"/>
        <v>0</v>
      </c>
      <c r="AH37">
        <f>(0)</f>
        <v>0</v>
      </c>
      <c r="AI37">
        <f>(0)</f>
        <v>0</v>
      </c>
      <c r="AJ37">
        <f t="shared" si="24"/>
        <v>0</v>
      </c>
      <c r="AK37">
        <v>178.15248</v>
      </c>
      <c r="AL37">
        <v>0</v>
      </c>
      <c r="AM37">
        <v>178.15248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1</v>
      </c>
      <c r="BH37">
        <v>0</v>
      </c>
      <c r="BI37">
        <v>1</v>
      </c>
      <c r="BJ37" t="s">
        <v>123</v>
      </c>
      <c r="BM37">
        <v>1203</v>
      </c>
      <c r="BN37">
        <v>0</v>
      </c>
      <c r="BP37">
        <v>0</v>
      </c>
      <c r="BQ37">
        <v>10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0</v>
      </c>
      <c r="CA37">
        <v>0</v>
      </c>
      <c r="CF37">
        <v>0</v>
      </c>
      <c r="CG37">
        <v>0</v>
      </c>
      <c r="CM37">
        <v>0</v>
      </c>
      <c r="CO37">
        <v>0</v>
      </c>
      <c r="CP37">
        <f t="shared" si="25"/>
        <v>5612</v>
      </c>
      <c r="CQ37">
        <f t="shared" si="26"/>
        <v>0</v>
      </c>
      <c r="CR37">
        <f t="shared" si="27"/>
        <v>178.15</v>
      </c>
      <c r="CS37">
        <f t="shared" si="28"/>
        <v>0</v>
      </c>
      <c r="CT37">
        <f t="shared" si="29"/>
        <v>0</v>
      </c>
      <c r="CU37">
        <f t="shared" si="30"/>
        <v>0</v>
      </c>
      <c r="CV37">
        <f t="shared" si="31"/>
        <v>0</v>
      </c>
      <c r="CW37">
        <f t="shared" si="32"/>
        <v>0</v>
      </c>
      <c r="CX37">
        <f t="shared" si="33"/>
        <v>0</v>
      </c>
      <c r="CY37">
        <f>((S37+R37)*(ROUND(FX37,IF(0,0,2))/100))</f>
        <v>0</v>
      </c>
      <c r="CZ37">
        <f>((S37+R37)*(ROUND((FY37*1),IF(0,0,2))/100))</f>
        <v>0</v>
      </c>
      <c r="DN37">
        <v>0</v>
      </c>
      <c r="DO37">
        <v>0</v>
      </c>
      <c r="DP37">
        <v>1</v>
      </c>
      <c r="DQ37">
        <v>1</v>
      </c>
      <c r="DU37">
        <v>1009</v>
      </c>
      <c r="DV37" t="s">
        <v>115</v>
      </c>
      <c r="DW37" t="s">
        <v>115</v>
      </c>
      <c r="DX37">
        <v>1000</v>
      </c>
      <c r="EE37">
        <v>25701030</v>
      </c>
      <c r="EF37">
        <v>10</v>
      </c>
      <c r="EG37" t="s">
        <v>124</v>
      </c>
      <c r="EH37">
        <v>0</v>
      </c>
      <c r="EJ37">
        <v>1</v>
      </c>
      <c r="EK37">
        <v>1203</v>
      </c>
      <c r="EL37" t="s">
        <v>125</v>
      </c>
      <c r="EM37" t="s">
        <v>126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FQ37">
        <v>0</v>
      </c>
      <c r="FR37">
        <f t="shared" si="36"/>
        <v>0</v>
      </c>
      <c r="FS37">
        <v>0</v>
      </c>
      <c r="FX37">
        <v>0</v>
      </c>
      <c r="FY37">
        <v>0</v>
      </c>
      <c r="GF37">
        <v>-477423169</v>
      </c>
      <c r="GG37">
        <v>2</v>
      </c>
      <c r="GH37">
        <v>0</v>
      </c>
      <c r="GI37">
        <v>-2</v>
      </c>
      <c r="GJ37">
        <v>0</v>
      </c>
      <c r="GK37">
        <f>ROUND(R37*(R12)/100,0)</f>
        <v>0</v>
      </c>
      <c r="GL37">
        <f t="shared" si="37"/>
        <v>0</v>
      </c>
      <c r="GM37">
        <f t="shared" si="38"/>
        <v>5612</v>
      </c>
      <c r="GN37">
        <f t="shared" si="39"/>
        <v>5612</v>
      </c>
      <c r="GO37">
        <f t="shared" si="40"/>
        <v>0</v>
      </c>
      <c r="GP37">
        <f t="shared" si="41"/>
        <v>0</v>
      </c>
      <c r="GR37">
        <v>0</v>
      </c>
    </row>
    <row r="39" spans="1:118" ht="12.75">
      <c r="A39" s="2">
        <v>51</v>
      </c>
      <c r="B39" s="2">
        <f>B20</f>
        <v>1</v>
      </c>
      <c r="C39" s="2">
        <f>A20</f>
        <v>3</v>
      </c>
      <c r="D39" s="2">
        <f>ROW(A20)</f>
        <v>20</v>
      </c>
      <c r="E39" s="2"/>
      <c r="F39" s="2" t="str">
        <f>IF(F20&lt;&gt;"",F20,"")</f>
        <v>Участок полов в корпусе № 15 цех 6 в осях (8-12) (Б-В)</v>
      </c>
      <c r="G39" s="2" t="str">
        <f>IF(G20&lt;&gt;"",G20,"")</f>
        <v>Участок полов в корпусе № 15 цех 6 в осях (8-12) (Б-В)</v>
      </c>
      <c r="H39" s="2"/>
      <c r="I39" s="2"/>
      <c r="J39" s="2"/>
      <c r="K39" s="2"/>
      <c r="L39" s="2"/>
      <c r="M39" s="2"/>
      <c r="N39" s="2"/>
      <c r="O39" s="2">
        <f aca="true" t="shared" si="42" ref="O39:T39">ROUND(AB39,0)</f>
        <v>1456456</v>
      </c>
      <c r="P39" s="2">
        <f t="shared" si="42"/>
        <v>905631</v>
      </c>
      <c r="Q39" s="2">
        <f t="shared" si="42"/>
        <v>70662</v>
      </c>
      <c r="R39" s="2">
        <f t="shared" si="42"/>
        <v>0</v>
      </c>
      <c r="S39" s="2">
        <f t="shared" si="42"/>
        <v>480163</v>
      </c>
      <c r="T39" s="2">
        <f t="shared" si="42"/>
        <v>0</v>
      </c>
      <c r="U39" s="2">
        <f>AH39</f>
        <v>3244.62659086</v>
      </c>
      <c r="V39" s="2">
        <f>AI39</f>
        <v>117.0337975</v>
      </c>
      <c r="W39" s="2">
        <f>ROUND(AJ39,0)</f>
        <v>0</v>
      </c>
      <c r="X39" s="2">
        <f>ROUND(AK39,0)</f>
        <v>342301</v>
      </c>
      <c r="Y39" s="2">
        <f>ROUND(AL39,0)</f>
        <v>232892</v>
      </c>
      <c r="Z39" s="2"/>
      <c r="AA39" s="2"/>
      <c r="AB39" s="2">
        <f>ROUND(SUMIF(AA24:AA37,"=26917020",O24:O37),0)</f>
        <v>1456456</v>
      </c>
      <c r="AC39" s="2">
        <f>ROUND(SUMIF(AA24:AA37,"=26917020",P24:P37),0)</f>
        <v>905631</v>
      </c>
      <c r="AD39" s="2">
        <f>ROUND(SUMIF(AA24:AA37,"=26917020",Q24:Q37),0)</f>
        <v>70662</v>
      </c>
      <c r="AE39" s="2">
        <f>ROUND(SUMIF(AA24:AA37,"=26917020",R24:R37),0)</f>
        <v>0</v>
      </c>
      <c r="AF39" s="2">
        <f>ROUND(SUMIF(AA24:AA37,"=26917020",S24:S37),0)</f>
        <v>480163</v>
      </c>
      <c r="AG39" s="2">
        <f>ROUND(SUMIF(AA24:AA37,"=26917020",T24:T37),0)</f>
        <v>0</v>
      </c>
      <c r="AH39" s="2">
        <f>SUMIF(AA24:AA37,"=26917020",U24:U37)</f>
        <v>3244.62659086</v>
      </c>
      <c r="AI39" s="2">
        <f>SUMIF(AA24:AA37,"=26917020",V24:V37)</f>
        <v>117.0337975</v>
      </c>
      <c r="AJ39" s="2">
        <f>ROUND(SUMIF(AA24:AA37,"=26917020",W24:W37),0)</f>
        <v>0</v>
      </c>
      <c r="AK39" s="2">
        <f>ROUND(SUMIF(AA24:AA37,"=26917020",X24:X37),0)</f>
        <v>342301</v>
      </c>
      <c r="AL39" s="2">
        <f>ROUND(SUMIF(AA24:AA37,"=26917020",Y24:Y37),0)</f>
        <v>232892</v>
      </c>
      <c r="AM39" s="2"/>
      <c r="AN39" s="2"/>
      <c r="AO39" s="2">
        <f aca="true" t="shared" si="43" ref="AO39:AZ39">ROUND(BB39,0)</f>
        <v>0</v>
      </c>
      <c r="AP39" s="2">
        <f t="shared" si="43"/>
        <v>0</v>
      </c>
      <c r="AQ39" s="2">
        <f t="shared" si="43"/>
        <v>0</v>
      </c>
      <c r="AR39" s="2">
        <f t="shared" si="43"/>
        <v>2031649</v>
      </c>
      <c r="AS39" s="2">
        <f t="shared" si="43"/>
        <v>2031649</v>
      </c>
      <c r="AT39" s="2">
        <f t="shared" si="43"/>
        <v>0</v>
      </c>
      <c r="AU39" s="2">
        <f t="shared" si="43"/>
        <v>0</v>
      </c>
      <c r="AV39" s="2">
        <f t="shared" si="43"/>
        <v>905631</v>
      </c>
      <c r="AW39" s="2">
        <f t="shared" si="43"/>
        <v>905631</v>
      </c>
      <c r="AX39" s="2">
        <f t="shared" si="43"/>
        <v>0</v>
      </c>
      <c r="AY39" s="2">
        <f t="shared" si="43"/>
        <v>905631</v>
      </c>
      <c r="AZ39" s="2">
        <f t="shared" si="43"/>
        <v>0</v>
      </c>
      <c r="BA39" s="2"/>
      <c r="BB39" s="2">
        <f>ROUND(SUMIF(AA24:AA37,"=26917020",FQ24:FQ37),0)</f>
        <v>0</v>
      </c>
      <c r="BC39" s="2">
        <f>ROUND(SUMIF(AA24:AA37,"=26917020",FR24:FR37),0)</f>
        <v>0</v>
      </c>
      <c r="BD39" s="2">
        <f>ROUND(SUMIF(AA24:AA37,"=26917020",GL24:GL37),0)</f>
        <v>0</v>
      </c>
      <c r="BE39" s="2">
        <f>ROUND(SUMIF(AA24:AA37,"=26917020",GM24:GM37),0)</f>
        <v>2031649</v>
      </c>
      <c r="BF39" s="2">
        <f>ROUND(SUMIF(AA24:AA37,"=26917020",GN24:GN37),0)</f>
        <v>2031649</v>
      </c>
      <c r="BG39" s="2">
        <f>ROUND(SUMIF(AA24:AA37,"=26917020",GO24:GO37),0)</f>
        <v>0</v>
      </c>
      <c r="BH39" s="2">
        <f>ROUND(SUMIF(AA24:AA37,"=26917020",GP24:GP37),0)</f>
        <v>0</v>
      </c>
      <c r="BI39" s="2">
        <f>AC39-BB39</f>
        <v>905631</v>
      </c>
      <c r="BJ39" s="2">
        <f>AC39-BC39</f>
        <v>905631</v>
      </c>
      <c r="BK39" s="2">
        <f>BB39-BD39</f>
        <v>0</v>
      </c>
      <c r="BL39" s="2">
        <f>AC39-BB39-BC39+BD39</f>
        <v>905631</v>
      </c>
      <c r="BM39" s="2">
        <f>BC39-BD39</f>
        <v>0</v>
      </c>
      <c r="BN39" s="2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>
        <v>0</v>
      </c>
    </row>
    <row r="41" spans="1:16" ht="12.75">
      <c r="A41" s="4">
        <v>50</v>
      </c>
      <c r="B41" s="4">
        <v>0</v>
      </c>
      <c r="C41" s="4">
        <v>0</v>
      </c>
      <c r="D41" s="4">
        <v>1</v>
      </c>
      <c r="E41" s="4">
        <v>201</v>
      </c>
      <c r="F41" s="4">
        <f>ROUND(Source!O39,O41)</f>
        <v>1456456</v>
      </c>
      <c r="G41" s="4" t="s">
        <v>127</v>
      </c>
      <c r="H41" s="4" t="s">
        <v>128</v>
      </c>
      <c r="I41" s="4"/>
      <c r="J41" s="4"/>
      <c r="K41" s="4">
        <v>201</v>
      </c>
      <c r="L41" s="4">
        <v>1</v>
      </c>
      <c r="M41" s="4">
        <v>3</v>
      </c>
      <c r="N41" s="4" t="s">
        <v>3</v>
      </c>
      <c r="O41" s="4">
        <v>0</v>
      </c>
      <c r="P41" s="4"/>
    </row>
    <row r="42" spans="1:16" ht="12.75">
      <c r="A42" s="4">
        <v>50</v>
      </c>
      <c r="B42" s="4">
        <v>0</v>
      </c>
      <c r="C42" s="4">
        <v>0</v>
      </c>
      <c r="D42" s="4">
        <v>1</v>
      </c>
      <c r="E42" s="4">
        <v>202</v>
      </c>
      <c r="F42" s="4">
        <f>ROUND(Source!P39,O42)</f>
        <v>905631</v>
      </c>
      <c r="G42" s="4" t="s">
        <v>129</v>
      </c>
      <c r="H42" s="4" t="s">
        <v>130</v>
      </c>
      <c r="I42" s="4"/>
      <c r="J42" s="4"/>
      <c r="K42" s="4">
        <v>202</v>
      </c>
      <c r="L42" s="4">
        <v>2</v>
      </c>
      <c r="M42" s="4">
        <v>3</v>
      </c>
      <c r="N42" s="4" t="s">
        <v>3</v>
      </c>
      <c r="O42" s="4">
        <v>0</v>
      </c>
      <c r="P42" s="4"/>
    </row>
    <row r="43" spans="1:16" ht="12.75">
      <c r="A43" s="4">
        <v>50</v>
      </c>
      <c r="B43" s="4">
        <v>0</v>
      </c>
      <c r="C43" s="4">
        <v>0</v>
      </c>
      <c r="D43" s="4">
        <v>1</v>
      </c>
      <c r="E43" s="4">
        <v>222</v>
      </c>
      <c r="F43" s="4">
        <f>ROUND(Source!AO39,O43)</f>
        <v>0</v>
      </c>
      <c r="G43" s="4" t="s">
        <v>131</v>
      </c>
      <c r="H43" s="4" t="s">
        <v>132</v>
      </c>
      <c r="I43" s="4"/>
      <c r="J43" s="4"/>
      <c r="K43" s="4">
        <v>222</v>
      </c>
      <c r="L43" s="4">
        <v>3</v>
      </c>
      <c r="M43" s="4">
        <v>3</v>
      </c>
      <c r="N43" s="4" t="s">
        <v>3</v>
      </c>
      <c r="O43" s="4">
        <v>0</v>
      </c>
      <c r="P43" s="4"/>
    </row>
    <row r="44" spans="1:16" ht="12.75">
      <c r="A44" s="4">
        <v>50</v>
      </c>
      <c r="B44" s="4">
        <v>0</v>
      </c>
      <c r="C44" s="4">
        <v>0</v>
      </c>
      <c r="D44" s="4">
        <v>1</v>
      </c>
      <c r="E44" s="4">
        <v>225</v>
      </c>
      <c r="F44" s="4">
        <f>ROUND(Source!AV39,O44)</f>
        <v>905631</v>
      </c>
      <c r="G44" s="4" t="s">
        <v>133</v>
      </c>
      <c r="H44" s="4" t="s">
        <v>134</v>
      </c>
      <c r="I44" s="4"/>
      <c r="J44" s="4"/>
      <c r="K44" s="4">
        <v>225</v>
      </c>
      <c r="L44" s="4">
        <v>4</v>
      </c>
      <c r="M44" s="4">
        <v>3</v>
      </c>
      <c r="N44" s="4" t="s">
        <v>3</v>
      </c>
      <c r="O44" s="4">
        <v>0</v>
      </c>
      <c r="P44" s="4"/>
    </row>
    <row r="45" spans="1:16" ht="12.75">
      <c r="A45" s="4">
        <v>50</v>
      </c>
      <c r="B45" s="4">
        <v>0</v>
      </c>
      <c r="C45" s="4">
        <v>0</v>
      </c>
      <c r="D45" s="4">
        <v>1</v>
      </c>
      <c r="E45" s="4">
        <v>226</v>
      </c>
      <c r="F45" s="4">
        <f>ROUND(Source!AW39,O45)</f>
        <v>905631</v>
      </c>
      <c r="G45" s="4" t="s">
        <v>135</v>
      </c>
      <c r="H45" s="4" t="s">
        <v>136</v>
      </c>
      <c r="I45" s="4"/>
      <c r="J45" s="4"/>
      <c r="K45" s="4">
        <v>226</v>
      </c>
      <c r="L45" s="4">
        <v>5</v>
      </c>
      <c r="M45" s="4">
        <v>3</v>
      </c>
      <c r="N45" s="4" t="s">
        <v>3</v>
      </c>
      <c r="O45" s="4">
        <v>0</v>
      </c>
      <c r="P45" s="4"/>
    </row>
    <row r="46" spans="1:16" ht="12.75">
      <c r="A46" s="4">
        <v>50</v>
      </c>
      <c r="B46" s="4">
        <v>0</v>
      </c>
      <c r="C46" s="4">
        <v>0</v>
      </c>
      <c r="D46" s="4">
        <v>1</v>
      </c>
      <c r="E46" s="4">
        <v>227</v>
      </c>
      <c r="F46" s="4">
        <f>ROUND(Source!AX39,O46)</f>
        <v>0</v>
      </c>
      <c r="G46" s="4" t="s">
        <v>137</v>
      </c>
      <c r="H46" s="4" t="s">
        <v>138</v>
      </c>
      <c r="I46" s="4"/>
      <c r="J46" s="4"/>
      <c r="K46" s="4">
        <v>227</v>
      </c>
      <c r="L46" s="4">
        <v>6</v>
      </c>
      <c r="M46" s="4">
        <v>3</v>
      </c>
      <c r="N46" s="4" t="s">
        <v>3</v>
      </c>
      <c r="O46" s="4">
        <v>0</v>
      </c>
      <c r="P46" s="4"/>
    </row>
    <row r="47" spans="1:16" ht="12.75">
      <c r="A47" s="4">
        <v>50</v>
      </c>
      <c r="B47" s="4">
        <v>0</v>
      </c>
      <c r="C47" s="4">
        <v>0</v>
      </c>
      <c r="D47" s="4">
        <v>1</v>
      </c>
      <c r="E47" s="4">
        <v>228</v>
      </c>
      <c r="F47" s="4">
        <f>ROUND(Source!AY39,O47)</f>
        <v>905631</v>
      </c>
      <c r="G47" s="4" t="s">
        <v>139</v>
      </c>
      <c r="H47" s="4" t="s">
        <v>140</v>
      </c>
      <c r="I47" s="4"/>
      <c r="J47" s="4"/>
      <c r="K47" s="4">
        <v>228</v>
      </c>
      <c r="L47" s="4">
        <v>7</v>
      </c>
      <c r="M47" s="4">
        <v>3</v>
      </c>
      <c r="N47" s="4" t="s">
        <v>3</v>
      </c>
      <c r="O47" s="4">
        <v>0</v>
      </c>
      <c r="P47" s="4"/>
    </row>
    <row r="48" spans="1:16" ht="12.75">
      <c r="A48" s="4">
        <v>50</v>
      </c>
      <c r="B48" s="4">
        <v>0</v>
      </c>
      <c r="C48" s="4">
        <v>0</v>
      </c>
      <c r="D48" s="4">
        <v>1</v>
      </c>
      <c r="E48" s="4">
        <v>216</v>
      </c>
      <c r="F48" s="4">
        <f>ROUND(Source!AP39,O48)</f>
        <v>0</v>
      </c>
      <c r="G48" s="4" t="s">
        <v>141</v>
      </c>
      <c r="H48" s="4" t="s">
        <v>142</v>
      </c>
      <c r="I48" s="4"/>
      <c r="J48" s="4"/>
      <c r="K48" s="4">
        <v>216</v>
      </c>
      <c r="L48" s="4">
        <v>8</v>
      </c>
      <c r="M48" s="4">
        <v>3</v>
      </c>
      <c r="N48" s="4" t="s">
        <v>3</v>
      </c>
      <c r="O48" s="4">
        <v>0</v>
      </c>
      <c r="P48" s="4"/>
    </row>
    <row r="49" spans="1:16" ht="12.75">
      <c r="A49" s="4">
        <v>50</v>
      </c>
      <c r="B49" s="4">
        <v>0</v>
      </c>
      <c r="C49" s="4">
        <v>0</v>
      </c>
      <c r="D49" s="4">
        <v>1</v>
      </c>
      <c r="E49" s="4">
        <v>223</v>
      </c>
      <c r="F49" s="4">
        <f>ROUND(Source!AQ39,O49)</f>
        <v>0</v>
      </c>
      <c r="G49" s="4" t="s">
        <v>143</v>
      </c>
      <c r="H49" s="4" t="s">
        <v>144</v>
      </c>
      <c r="I49" s="4"/>
      <c r="J49" s="4"/>
      <c r="K49" s="4">
        <v>223</v>
      </c>
      <c r="L49" s="4">
        <v>9</v>
      </c>
      <c r="M49" s="4">
        <v>3</v>
      </c>
      <c r="N49" s="4" t="s">
        <v>3</v>
      </c>
      <c r="O49" s="4">
        <v>0</v>
      </c>
      <c r="P49" s="4"/>
    </row>
    <row r="50" spans="1:16" ht="12.75">
      <c r="A50" s="4">
        <v>50</v>
      </c>
      <c r="B50" s="4">
        <v>0</v>
      </c>
      <c r="C50" s="4">
        <v>0</v>
      </c>
      <c r="D50" s="4">
        <v>1</v>
      </c>
      <c r="E50" s="4">
        <v>229</v>
      </c>
      <c r="F50" s="4">
        <f>ROUND(Source!AZ39,O50)</f>
        <v>0</v>
      </c>
      <c r="G50" s="4" t="s">
        <v>145</v>
      </c>
      <c r="H50" s="4" t="s">
        <v>146</v>
      </c>
      <c r="I50" s="4"/>
      <c r="J50" s="4"/>
      <c r="K50" s="4">
        <v>229</v>
      </c>
      <c r="L50" s="4">
        <v>10</v>
      </c>
      <c r="M50" s="4">
        <v>3</v>
      </c>
      <c r="N50" s="4" t="s">
        <v>3</v>
      </c>
      <c r="O50" s="4">
        <v>0</v>
      </c>
      <c r="P50" s="4"/>
    </row>
    <row r="51" spans="1:16" ht="12.75">
      <c r="A51" s="4">
        <v>50</v>
      </c>
      <c r="B51" s="4">
        <v>0</v>
      </c>
      <c r="C51" s="4">
        <v>0</v>
      </c>
      <c r="D51" s="4">
        <v>1</v>
      </c>
      <c r="E51" s="4">
        <v>203</v>
      </c>
      <c r="F51" s="4">
        <f>ROUND(Source!Q39,O51)</f>
        <v>70662</v>
      </c>
      <c r="G51" s="4" t="s">
        <v>147</v>
      </c>
      <c r="H51" s="4" t="s">
        <v>148</v>
      </c>
      <c r="I51" s="4"/>
      <c r="J51" s="4"/>
      <c r="K51" s="4">
        <v>203</v>
      </c>
      <c r="L51" s="4">
        <v>11</v>
      </c>
      <c r="M51" s="4">
        <v>3</v>
      </c>
      <c r="N51" s="4" t="s">
        <v>3</v>
      </c>
      <c r="O51" s="4">
        <v>0</v>
      </c>
      <c r="P51" s="4"/>
    </row>
    <row r="52" spans="1:16" ht="12.75">
      <c r="A52" s="4">
        <v>50</v>
      </c>
      <c r="B52" s="4">
        <v>0</v>
      </c>
      <c r="C52" s="4">
        <v>0</v>
      </c>
      <c r="D52" s="4">
        <v>1</v>
      </c>
      <c r="E52" s="4">
        <v>204</v>
      </c>
      <c r="F52" s="4">
        <f>ROUND(Source!R39,O52)</f>
        <v>0</v>
      </c>
      <c r="G52" s="4" t="s">
        <v>149</v>
      </c>
      <c r="H52" s="4" t="s">
        <v>150</v>
      </c>
      <c r="I52" s="4"/>
      <c r="J52" s="4"/>
      <c r="K52" s="4">
        <v>204</v>
      </c>
      <c r="L52" s="4">
        <v>12</v>
      </c>
      <c r="M52" s="4">
        <v>3</v>
      </c>
      <c r="N52" s="4" t="s">
        <v>3</v>
      </c>
      <c r="O52" s="4">
        <v>0</v>
      </c>
      <c r="P52" s="4"/>
    </row>
    <row r="53" spans="1:16" ht="12.75">
      <c r="A53" s="4">
        <v>50</v>
      </c>
      <c r="B53" s="4">
        <v>0</v>
      </c>
      <c r="C53" s="4">
        <v>0</v>
      </c>
      <c r="D53" s="4">
        <v>1</v>
      </c>
      <c r="E53" s="4">
        <v>205</v>
      </c>
      <c r="F53" s="4">
        <f>ROUND(Source!S39,O53)</f>
        <v>480163</v>
      </c>
      <c r="G53" s="4" t="s">
        <v>151</v>
      </c>
      <c r="H53" s="4" t="s">
        <v>152</v>
      </c>
      <c r="I53" s="4"/>
      <c r="J53" s="4"/>
      <c r="K53" s="4">
        <v>205</v>
      </c>
      <c r="L53" s="4">
        <v>13</v>
      </c>
      <c r="M53" s="4">
        <v>3</v>
      </c>
      <c r="N53" s="4" t="s">
        <v>3</v>
      </c>
      <c r="O53" s="4">
        <v>0</v>
      </c>
      <c r="P53" s="4"/>
    </row>
    <row r="54" spans="1:16" ht="12.75">
      <c r="A54" s="4">
        <v>50</v>
      </c>
      <c r="B54" s="4">
        <v>0</v>
      </c>
      <c r="C54" s="4">
        <v>0</v>
      </c>
      <c r="D54" s="4">
        <v>1</v>
      </c>
      <c r="E54" s="4">
        <v>214</v>
      </c>
      <c r="F54" s="4">
        <f>ROUND(Source!AS39,O54)</f>
        <v>2031649</v>
      </c>
      <c r="G54" s="4" t="s">
        <v>153</v>
      </c>
      <c r="H54" s="4" t="s">
        <v>154</v>
      </c>
      <c r="I54" s="4"/>
      <c r="J54" s="4"/>
      <c r="K54" s="4">
        <v>214</v>
      </c>
      <c r="L54" s="4">
        <v>14</v>
      </c>
      <c r="M54" s="4">
        <v>3</v>
      </c>
      <c r="N54" s="4" t="s">
        <v>3</v>
      </c>
      <c r="O54" s="4">
        <v>0</v>
      </c>
      <c r="P54" s="4"/>
    </row>
    <row r="55" spans="1:16" ht="12.75">
      <c r="A55" s="4">
        <v>50</v>
      </c>
      <c r="B55" s="4">
        <v>0</v>
      </c>
      <c r="C55" s="4">
        <v>0</v>
      </c>
      <c r="D55" s="4">
        <v>1</v>
      </c>
      <c r="E55" s="4">
        <v>215</v>
      </c>
      <c r="F55" s="4">
        <f>ROUND(Source!AT39,O55)</f>
        <v>0</v>
      </c>
      <c r="G55" s="4" t="s">
        <v>155</v>
      </c>
      <c r="H55" s="4" t="s">
        <v>156</v>
      </c>
      <c r="I55" s="4"/>
      <c r="J55" s="4"/>
      <c r="K55" s="4">
        <v>215</v>
      </c>
      <c r="L55" s="4">
        <v>15</v>
      </c>
      <c r="M55" s="4">
        <v>3</v>
      </c>
      <c r="N55" s="4" t="s">
        <v>3</v>
      </c>
      <c r="O55" s="4">
        <v>0</v>
      </c>
      <c r="P55" s="4"/>
    </row>
    <row r="56" spans="1:16" ht="12.75">
      <c r="A56" s="4">
        <v>50</v>
      </c>
      <c r="B56" s="4">
        <v>0</v>
      </c>
      <c r="C56" s="4">
        <v>0</v>
      </c>
      <c r="D56" s="4">
        <v>1</v>
      </c>
      <c r="E56" s="4">
        <v>217</v>
      </c>
      <c r="F56" s="4">
        <f>ROUND(Source!AU39,O56)</f>
        <v>0</v>
      </c>
      <c r="G56" s="4" t="s">
        <v>157</v>
      </c>
      <c r="H56" s="4" t="s">
        <v>158</v>
      </c>
      <c r="I56" s="4"/>
      <c r="J56" s="4"/>
      <c r="K56" s="4">
        <v>217</v>
      </c>
      <c r="L56" s="4">
        <v>16</v>
      </c>
      <c r="M56" s="4">
        <v>3</v>
      </c>
      <c r="N56" s="4" t="s">
        <v>3</v>
      </c>
      <c r="O56" s="4">
        <v>0</v>
      </c>
      <c r="P56" s="4"/>
    </row>
    <row r="57" spans="1:16" ht="12.75">
      <c r="A57" s="4">
        <v>50</v>
      </c>
      <c r="B57" s="4">
        <v>0</v>
      </c>
      <c r="C57" s="4">
        <v>0</v>
      </c>
      <c r="D57" s="4">
        <v>1</v>
      </c>
      <c r="E57" s="4">
        <v>206</v>
      </c>
      <c r="F57" s="4">
        <f>ROUND(Source!T39,O57)</f>
        <v>0</v>
      </c>
      <c r="G57" s="4" t="s">
        <v>159</v>
      </c>
      <c r="H57" s="4" t="s">
        <v>160</v>
      </c>
      <c r="I57" s="4"/>
      <c r="J57" s="4"/>
      <c r="K57" s="4">
        <v>206</v>
      </c>
      <c r="L57" s="4">
        <v>17</v>
      </c>
      <c r="M57" s="4">
        <v>3</v>
      </c>
      <c r="N57" s="4" t="s">
        <v>3</v>
      </c>
      <c r="O57" s="4">
        <v>0</v>
      </c>
      <c r="P57" s="4"/>
    </row>
    <row r="58" spans="1:16" ht="12.75">
      <c r="A58" s="4">
        <v>50</v>
      </c>
      <c r="B58" s="4">
        <v>0</v>
      </c>
      <c r="C58" s="4">
        <v>0</v>
      </c>
      <c r="D58" s="4">
        <v>1</v>
      </c>
      <c r="E58" s="4">
        <v>207</v>
      </c>
      <c r="F58" s="4">
        <f>Source!U39</f>
        <v>3244.62659086</v>
      </c>
      <c r="G58" s="4" t="s">
        <v>161</v>
      </c>
      <c r="H58" s="4" t="s">
        <v>162</v>
      </c>
      <c r="I58" s="4"/>
      <c r="J58" s="4"/>
      <c r="K58" s="4">
        <v>207</v>
      </c>
      <c r="L58" s="4">
        <v>18</v>
      </c>
      <c r="M58" s="4">
        <v>3</v>
      </c>
      <c r="N58" s="4" t="s">
        <v>3</v>
      </c>
      <c r="O58" s="4">
        <v>-1</v>
      </c>
      <c r="P58" s="4"/>
    </row>
    <row r="59" spans="1:16" ht="12.75">
      <c r="A59" s="4">
        <v>50</v>
      </c>
      <c r="B59" s="4">
        <v>0</v>
      </c>
      <c r="C59" s="4">
        <v>0</v>
      </c>
      <c r="D59" s="4">
        <v>1</v>
      </c>
      <c r="E59" s="4">
        <v>208</v>
      </c>
      <c r="F59" s="4">
        <f>Source!V39</f>
        <v>117.0337975</v>
      </c>
      <c r="G59" s="4" t="s">
        <v>163</v>
      </c>
      <c r="H59" s="4" t="s">
        <v>164</v>
      </c>
      <c r="I59" s="4"/>
      <c r="J59" s="4"/>
      <c r="K59" s="4">
        <v>208</v>
      </c>
      <c r="L59" s="4">
        <v>19</v>
      </c>
      <c r="M59" s="4">
        <v>3</v>
      </c>
      <c r="N59" s="4" t="s">
        <v>3</v>
      </c>
      <c r="O59" s="4">
        <v>-1</v>
      </c>
      <c r="P59" s="4"/>
    </row>
    <row r="60" spans="1:16" ht="12.75">
      <c r="A60" s="4">
        <v>50</v>
      </c>
      <c r="B60" s="4">
        <v>0</v>
      </c>
      <c r="C60" s="4">
        <v>0</v>
      </c>
      <c r="D60" s="4">
        <v>1</v>
      </c>
      <c r="E60" s="4">
        <v>209</v>
      </c>
      <c r="F60" s="4">
        <f>ROUND(Source!W39,O60)</f>
        <v>0</v>
      </c>
      <c r="G60" s="4" t="s">
        <v>165</v>
      </c>
      <c r="H60" s="4" t="s">
        <v>166</v>
      </c>
      <c r="I60" s="4"/>
      <c r="J60" s="4"/>
      <c r="K60" s="4">
        <v>209</v>
      </c>
      <c r="L60" s="4">
        <v>20</v>
      </c>
      <c r="M60" s="4">
        <v>3</v>
      </c>
      <c r="N60" s="4" t="s">
        <v>3</v>
      </c>
      <c r="O60" s="4">
        <v>0</v>
      </c>
      <c r="P60" s="4"/>
    </row>
    <row r="61" spans="1:16" ht="12.75">
      <c r="A61" s="4">
        <v>50</v>
      </c>
      <c r="B61" s="4">
        <v>0</v>
      </c>
      <c r="C61" s="4">
        <v>0</v>
      </c>
      <c r="D61" s="4">
        <v>1</v>
      </c>
      <c r="E61" s="4">
        <v>210</v>
      </c>
      <c r="F61" s="4">
        <f>ROUND(Source!X39,O61)</f>
        <v>342301</v>
      </c>
      <c r="G61" s="4" t="s">
        <v>167</v>
      </c>
      <c r="H61" s="4" t="s">
        <v>168</v>
      </c>
      <c r="I61" s="4"/>
      <c r="J61" s="4"/>
      <c r="K61" s="4">
        <v>210</v>
      </c>
      <c r="L61" s="4">
        <v>21</v>
      </c>
      <c r="M61" s="4">
        <v>3</v>
      </c>
      <c r="N61" s="4" t="s">
        <v>3</v>
      </c>
      <c r="O61" s="4">
        <v>0</v>
      </c>
      <c r="P61" s="4"/>
    </row>
    <row r="62" spans="1:16" ht="12.75">
      <c r="A62" s="4">
        <v>50</v>
      </c>
      <c r="B62" s="4">
        <v>0</v>
      </c>
      <c r="C62" s="4">
        <v>0</v>
      </c>
      <c r="D62" s="4">
        <v>1</v>
      </c>
      <c r="E62" s="4">
        <v>211</v>
      </c>
      <c r="F62" s="4">
        <f>ROUND(Source!Y39,O62)</f>
        <v>232892</v>
      </c>
      <c r="G62" s="4" t="s">
        <v>169</v>
      </c>
      <c r="H62" s="4" t="s">
        <v>170</v>
      </c>
      <c r="I62" s="4"/>
      <c r="J62" s="4"/>
      <c r="K62" s="4">
        <v>211</v>
      </c>
      <c r="L62" s="4">
        <v>22</v>
      </c>
      <c r="M62" s="4">
        <v>3</v>
      </c>
      <c r="N62" s="4" t="s">
        <v>3</v>
      </c>
      <c r="O62" s="4">
        <v>0</v>
      </c>
      <c r="P62" s="4"/>
    </row>
    <row r="63" spans="1:16" ht="12.75">
      <c r="A63" s="4">
        <v>50</v>
      </c>
      <c r="B63" s="4">
        <v>0</v>
      </c>
      <c r="C63" s="4">
        <v>0</v>
      </c>
      <c r="D63" s="4">
        <v>1</v>
      </c>
      <c r="E63" s="4">
        <v>224</v>
      </c>
      <c r="F63" s="4">
        <f>ROUND(Source!AR39,O63)</f>
        <v>2031649</v>
      </c>
      <c r="G63" s="4" t="s">
        <v>171</v>
      </c>
      <c r="H63" s="4" t="s">
        <v>172</v>
      </c>
      <c r="I63" s="4"/>
      <c r="J63" s="4"/>
      <c r="K63" s="4">
        <v>224</v>
      </c>
      <c r="L63" s="4">
        <v>23</v>
      </c>
      <c r="M63" s="4">
        <v>3</v>
      </c>
      <c r="N63" s="4" t="s">
        <v>3</v>
      </c>
      <c r="O63" s="4">
        <v>0</v>
      </c>
      <c r="P63" s="4"/>
    </row>
    <row r="65" spans="1:118" ht="12.75">
      <c r="A65" s="2">
        <v>51</v>
      </c>
      <c r="B65" s="2">
        <f>B12</f>
        <v>115</v>
      </c>
      <c r="C65" s="2">
        <f>A12</f>
        <v>1</v>
      </c>
      <c r="D65" s="2">
        <f>ROW(A12)</f>
        <v>12</v>
      </c>
      <c r="E65" s="2"/>
      <c r="F65" s="2" t="str">
        <f>IF(F12&lt;&gt;"",F12,"")</f>
        <v>Новый объект</v>
      </c>
      <c r="G65" s="2" t="str">
        <f>IF(G12&lt;&gt;"",G12,"")</f>
        <v>полы травление+мал гальваника</v>
      </c>
      <c r="H65" s="2"/>
      <c r="I65" s="2"/>
      <c r="J65" s="2"/>
      <c r="K65" s="2"/>
      <c r="L65" s="2"/>
      <c r="M65" s="2"/>
      <c r="N65" s="2"/>
      <c r="O65" s="2">
        <f aca="true" t="shared" si="44" ref="O65:T65">ROUND(O39,0)</f>
        <v>1456456</v>
      </c>
      <c r="P65" s="2">
        <f t="shared" si="44"/>
        <v>905631</v>
      </c>
      <c r="Q65" s="2">
        <f t="shared" si="44"/>
        <v>70662</v>
      </c>
      <c r="R65" s="2">
        <f t="shared" si="44"/>
        <v>0</v>
      </c>
      <c r="S65" s="2">
        <f t="shared" si="44"/>
        <v>480163</v>
      </c>
      <c r="T65" s="2">
        <f t="shared" si="44"/>
        <v>0</v>
      </c>
      <c r="U65" s="2">
        <f>U39</f>
        <v>3244.62659086</v>
      </c>
      <c r="V65" s="2">
        <f>V39</f>
        <v>117.0337975</v>
      </c>
      <c r="W65" s="2">
        <f>ROUND(W39,0)</f>
        <v>0</v>
      </c>
      <c r="X65" s="2">
        <f>ROUND(X39,0)</f>
        <v>342301</v>
      </c>
      <c r="Y65" s="2">
        <f>ROUND(Y39,0)</f>
        <v>232892</v>
      </c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>
        <f aca="true" t="shared" si="45" ref="AO65:AZ65">ROUND(AO39,0)</f>
        <v>0</v>
      </c>
      <c r="AP65" s="2">
        <f t="shared" si="45"/>
        <v>0</v>
      </c>
      <c r="AQ65" s="2">
        <f t="shared" si="45"/>
        <v>0</v>
      </c>
      <c r="AR65" s="2">
        <f t="shared" si="45"/>
        <v>2031649</v>
      </c>
      <c r="AS65" s="2">
        <f t="shared" si="45"/>
        <v>2031649</v>
      </c>
      <c r="AT65" s="2">
        <f t="shared" si="45"/>
        <v>0</v>
      </c>
      <c r="AU65" s="2">
        <f t="shared" si="45"/>
        <v>0</v>
      </c>
      <c r="AV65" s="2">
        <f t="shared" si="45"/>
        <v>905631</v>
      </c>
      <c r="AW65" s="2">
        <f t="shared" si="45"/>
        <v>905631</v>
      </c>
      <c r="AX65" s="2">
        <f t="shared" si="45"/>
        <v>0</v>
      </c>
      <c r="AY65" s="2">
        <f t="shared" si="45"/>
        <v>905631</v>
      </c>
      <c r="AZ65" s="2">
        <f t="shared" si="45"/>
        <v>0</v>
      </c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>
        <v>0</v>
      </c>
    </row>
    <row r="67" spans="1:16" ht="12.75">
      <c r="A67" s="4">
        <v>50</v>
      </c>
      <c r="B67" s="4">
        <v>0</v>
      </c>
      <c r="C67" s="4">
        <v>0</v>
      </c>
      <c r="D67" s="4">
        <v>1</v>
      </c>
      <c r="E67" s="4">
        <v>201</v>
      </c>
      <c r="F67" s="4">
        <f>ROUND(Source!O65,O67)</f>
        <v>1456456</v>
      </c>
      <c r="G67" s="4" t="s">
        <v>127</v>
      </c>
      <c r="H67" s="4" t="s">
        <v>128</v>
      </c>
      <c r="I67" s="4"/>
      <c r="J67" s="4"/>
      <c r="K67" s="4">
        <v>201</v>
      </c>
      <c r="L67" s="4">
        <v>1</v>
      </c>
      <c r="M67" s="4">
        <v>3</v>
      </c>
      <c r="N67" s="4" t="s">
        <v>3</v>
      </c>
      <c r="O67" s="4">
        <v>0</v>
      </c>
      <c r="P67" s="4"/>
    </row>
    <row r="68" spans="1:16" ht="12.75">
      <c r="A68" s="4">
        <v>50</v>
      </c>
      <c r="B68" s="4">
        <v>0</v>
      </c>
      <c r="C68" s="4">
        <v>0</v>
      </c>
      <c r="D68" s="4">
        <v>1</v>
      </c>
      <c r="E68" s="4">
        <v>0</v>
      </c>
      <c r="F68" s="4">
        <f>ROUND(Source!AO65,O68)</f>
        <v>0</v>
      </c>
      <c r="G68" s="4" t="s">
        <v>131</v>
      </c>
      <c r="H68" s="4" t="s">
        <v>132</v>
      </c>
      <c r="I68" s="4"/>
      <c r="J68" s="4"/>
      <c r="K68" s="4">
        <v>222</v>
      </c>
      <c r="L68" s="4">
        <v>4</v>
      </c>
      <c r="M68" s="4">
        <v>3</v>
      </c>
      <c r="N68" s="4" t="s">
        <v>3</v>
      </c>
      <c r="O68" s="4">
        <v>0</v>
      </c>
      <c r="P68" s="4"/>
    </row>
    <row r="69" spans="1:16" ht="12.75">
      <c r="A69" s="4">
        <v>50</v>
      </c>
      <c r="B69" s="4">
        <v>0</v>
      </c>
      <c r="C69" s="4">
        <v>0</v>
      </c>
      <c r="D69" s="4">
        <v>1</v>
      </c>
      <c r="E69" s="4">
        <v>225</v>
      </c>
      <c r="F69" s="4">
        <f>ROUND(Source!AV65,O69)</f>
        <v>905631</v>
      </c>
      <c r="G69" s="4" t="s">
        <v>133</v>
      </c>
      <c r="H69" s="4" t="s">
        <v>134</v>
      </c>
      <c r="I69" s="4"/>
      <c r="J69" s="4"/>
      <c r="K69" s="4">
        <v>225</v>
      </c>
      <c r="L69" s="4">
        <v>5</v>
      </c>
      <c r="M69" s="4">
        <v>3</v>
      </c>
      <c r="N69" s="4" t="s">
        <v>3</v>
      </c>
      <c r="O69" s="4">
        <v>0</v>
      </c>
      <c r="P69" s="4"/>
    </row>
    <row r="70" spans="1:16" ht="12.75">
      <c r="A70" s="4">
        <v>50</v>
      </c>
      <c r="B70" s="4">
        <v>0</v>
      </c>
      <c r="C70" s="4">
        <v>0</v>
      </c>
      <c r="D70" s="4">
        <v>1</v>
      </c>
      <c r="E70" s="4">
        <v>226</v>
      </c>
      <c r="F70" s="4">
        <f>ROUND(Source!AW65,O70)</f>
        <v>905631</v>
      </c>
      <c r="G70" s="4" t="s">
        <v>135</v>
      </c>
      <c r="H70" s="4" t="s">
        <v>136</v>
      </c>
      <c r="I70" s="4"/>
      <c r="J70" s="4"/>
      <c r="K70" s="4">
        <v>226</v>
      </c>
      <c r="L70" s="4">
        <v>6</v>
      </c>
      <c r="M70" s="4">
        <v>3</v>
      </c>
      <c r="N70" s="4" t="s">
        <v>3</v>
      </c>
      <c r="O70" s="4">
        <v>0</v>
      </c>
      <c r="P70" s="4"/>
    </row>
    <row r="71" spans="1:16" ht="12.75">
      <c r="A71" s="4">
        <v>50</v>
      </c>
      <c r="B71" s="4">
        <v>0</v>
      </c>
      <c r="C71" s="4">
        <v>0</v>
      </c>
      <c r="D71" s="4">
        <v>1</v>
      </c>
      <c r="E71" s="4">
        <v>227</v>
      </c>
      <c r="F71" s="4">
        <f>ROUND(Source!AX65,O71)</f>
        <v>0</v>
      </c>
      <c r="G71" s="4" t="s">
        <v>137</v>
      </c>
      <c r="H71" s="4" t="s">
        <v>138</v>
      </c>
      <c r="I71" s="4"/>
      <c r="J71" s="4"/>
      <c r="K71" s="4">
        <v>227</v>
      </c>
      <c r="L71" s="4">
        <v>7</v>
      </c>
      <c r="M71" s="4">
        <v>3</v>
      </c>
      <c r="N71" s="4" t="s">
        <v>3</v>
      </c>
      <c r="O71" s="4">
        <v>0</v>
      </c>
      <c r="P71" s="4"/>
    </row>
    <row r="72" spans="1:16" ht="12.75">
      <c r="A72" s="4">
        <v>50</v>
      </c>
      <c r="B72" s="4">
        <v>0</v>
      </c>
      <c r="C72" s="4">
        <v>0</v>
      </c>
      <c r="D72" s="4">
        <v>1</v>
      </c>
      <c r="E72" s="4">
        <v>228</v>
      </c>
      <c r="F72" s="4">
        <f>ROUND(Source!AY65,O72)</f>
        <v>905631</v>
      </c>
      <c r="G72" s="4" t="s">
        <v>139</v>
      </c>
      <c r="H72" s="4" t="s">
        <v>140</v>
      </c>
      <c r="I72" s="4"/>
      <c r="J72" s="4"/>
      <c r="K72" s="4">
        <v>228</v>
      </c>
      <c r="L72" s="4">
        <v>8</v>
      </c>
      <c r="M72" s="4">
        <v>3</v>
      </c>
      <c r="N72" s="4" t="s">
        <v>3</v>
      </c>
      <c r="O72" s="4">
        <v>0</v>
      </c>
      <c r="P72" s="4"/>
    </row>
    <row r="73" spans="1:16" ht="12.75">
      <c r="A73" s="4">
        <v>50</v>
      </c>
      <c r="B73" s="4">
        <v>0</v>
      </c>
      <c r="C73" s="4">
        <v>0</v>
      </c>
      <c r="D73" s="4">
        <v>1</v>
      </c>
      <c r="E73" s="4">
        <v>216</v>
      </c>
      <c r="F73" s="4">
        <f>ROUND(Source!AP65,O73)</f>
        <v>0</v>
      </c>
      <c r="G73" s="4" t="s">
        <v>141</v>
      </c>
      <c r="H73" s="4" t="s">
        <v>142</v>
      </c>
      <c r="I73" s="4"/>
      <c r="J73" s="4"/>
      <c r="K73" s="4">
        <v>216</v>
      </c>
      <c r="L73" s="4">
        <v>9</v>
      </c>
      <c r="M73" s="4">
        <v>3</v>
      </c>
      <c r="N73" s="4" t="s">
        <v>3</v>
      </c>
      <c r="O73" s="4">
        <v>0</v>
      </c>
      <c r="P73" s="4"/>
    </row>
    <row r="74" spans="1:16" ht="12.75">
      <c r="A74" s="4">
        <v>50</v>
      </c>
      <c r="B74" s="4">
        <v>0</v>
      </c>
      <c r="C74" s="4">
        <v>0</v>
      </c>
      <c r="D74" s="4">
        <v>1</v>
      </c>
      <c r="E74" s="4">
        <v>223</v>
      </c>
      <c r="F74" s="4">
        <f>ROUND(Source!AQ65,O74)</f>
        <v>0</v>
      </c>
      <c r="G74" s="4" t="s">
        <v>143</v>
      </c>
      <c r="H74" s="4" t="s">
        <v>144</v>
      </c>
      <c r="I74" s="4"/>
      <c r="J74" s="4"/>
      <c r="K74" s="4">
        <v>223</v>
      </c>
      <c r="L74" s="4">
        <v>10</v>
      </c>
      <c r="M74" s="4">
        <v>3</v>
      </c>
      <c r="N74" s="4" t="s">
        <v>3</v>
      </c>
      <c r="O74" s="4">
        <v>0</v>
      </c>
      <c r="P74" s="4"/>
    </row>
    <row r="75" spans="1:16" ht="12.75">
      <c r="A75" s="4">
        <v>50</v>
      </c>
      <c r="B75" s="4">
        <v>0</v>
      </c>
      <c r="C75" s="4">
        <v>0</v>
      </c>
      <c r="D75" s="4">
        <v>1</v>
      </c>
      <c r="E75" s="4">
        <v>229</v>
      </c>
      <c r="F75" s="4">
        <f>ROUND(Source!AZ65,O75)</f>
        <v>0</v>
      </c>
      <c r="G75" s="4" t="s">
        <v>145</v>
      </c>
      <c r="H75" s="4" t="s">
        <v>146</v>
      </c>
      <c r="I75" s="4"/>
      <c r="J75" s="4"/>
      <c r="K75" s="4">
        <v>229</v>
      </c>
      <c r="L75" s="4">
        <v>11</v>
      </c>
      <c r="M75" s="4">
        <v>3</v>
      </c>
      <c r="N75" s="4" t="s">
        <v>3</v>
      </c>
      <c r="O75" s="4">
        <v>0</v>
      </c>
      <c r="P75" s="4"/>
    </row>
    <row r="76" spans="1:16" ht="12.75">
      <c r="A76" s="4">
        <v>50</v>
      </c>
      <c r="B76" s="4">
        <v>1</v>
      </c>
      <c r="C76" s="4">
        <v>0</v>
      </c>
      <c r="D76" s="4">
        <v>1</v>
      </c>
      <c r="E76" s="4">
        <v>203</v>
      </c>
      <c r="F76" s="4">
        <f>ROUND(Source!Q65,O76)</f>
        <v>70662</v>
      </c>
      <c r="G76" s="4" t="s">
        <v>147</v>
      </c>
      <c r="H76" s="4" t="s">
        <v>148</v>
      </c>
      <c r="I76" s="4"/>
      <c r="J76" s="4"/>
      <c r="K76" s="4">
        <v>203</v>
      </c>
      <c r="L76" s="4">
        <v>12</v>
      </c>
      <c r="M76" s="4">
        <v>0</v>
      </c>
      <c r="N76" s="4" t="s">
        <v>3</v>
      </c>
      <c r="O76" s="4">
        <v>0</v>
      </c>
      <c r="P76" s="4"/>
    </row>
    <row r="77" spans="1:16" ht="12.75">
      <c r="A77" s="4">
        <v>50</v>
      </c>
      <c r="B77" s="4">
        <v>0</v>
      </c>
      <c r="C77" s="4">
        <v>0</v>
      </c>
      <c r="D77" s="4">
        <v>1</v>
      </c>
      <c r="E77" s="4">
        <v>204</v>
      </c>
      <c r="F77" s="4">
        <f>ROUND(Source!R65,O77)</f>
        <v>0</v>
      </c>
      <c r="G77" s="4" t="s">
        <v>149</v>
      </c>
      <c r="H77" s="4" t="s">
        <v>150</v>
      </c>
      <c r="I77" s="4"/>
      <c r="J77" s="4"/>
      <c r="K77" s="4">
        <v>204</v>
      </c>
      <c r="L77" s="4">
        <v>13</v>
      </c>
      <c r="M77" s="4">
        <v>3</v>
      </c>
      <c r="N77" s="4" t="s">
        <v>3</v>
      </c>
      <c r="O77" s="4">
        <v>0</v>
      </c>
      <c r="P77" s="4"/>
    </row>
    <row r="78" spans="1:16" ht="12.75">
      <c r="A78" s="4">
        <v>50</v>
      </c>
      <c r="B78" s="4">
        <v>1</v>
      </c>
      <c r="C78" s="4">
        <v>0</v>
      </c>
      <c r="D78" s="4">
        <v>1</v>
      </c>
      <c r="E78" s="4">
        <v>205</v>
      </c>
      <c r="F78" s="4">
        <f>ROUND(Source!S65,O78)</f>
        <v>480163</v>
      </c>
      <c r="G78" s="4" t="s">
        <v>151</v>
      </c>
      <c r="H78" s="4" t="s">
        <v>152</v>
      </c>
      <c r="I78" s="4"/>
      <c r="J78" s="4"/>
      <c r="K78" s="4">
        <v>205</v>
      </c>
      <c r="L78" s="4">
        <v>14</v>
      </c>
      <c r="M78" s="4">
        <v>0</v>
      </c>
      <c r="N78" s="4" t="s">
        <v>3</v>
      </c>
      <c r="O78" s="4">
        <v>0</v>
      </c>
      <c r="P78" s="4"/>
    </row>
    <row r="79" spans="1:16" ht="12.75">
      <c r="A79" s="4">
        <v>50</v>
      </c>
      <c r="B79" s="4">
        <v>0</v>
      </c>
      <c r="C79" s="4">
        <v>0</v>
      </c>
      <c r="D79" s="4">
        <v>1</v>
      </c>
      <c r="E79" s="4">
        <v>214</v>
      </c>
      <c r="F79" s="4">
        <f>ROUND(Source!AS65,O79)</f>
        <v>2031649</v>
      </c>
      <c r="G79" s="4" t="s">
        <v>153</v>
      </c>
      <c r="H79" s="4" t="s">
        <v>154</v>
      </c>
      <c r="I79" s="4"/>
      <c r="J79" s="4"/>
      <c r="K79" s="4">
        <v>214</v>
      </c>
      <c r="L79" s="4">
        <v>15</v>
      </c>
      <c r="M79" s="4">
        <v>3</v>
      </c>
      <c r="N79" s="4" t="s">
        <v>3</v>
      </c>
      <c r="O79" s="4">
        <v>0</v>
      </c>
      <c r="P79" s="4"/>
    </row>
    <row r="80" spans="1:16" ht="12.75">
      <c r="A80" s="4">
        <v>50</v>
      </c>
      <c r="B80" s="4">
        <v>0</v>
      </c>
      <c r="C80" s="4">
        <v>0</v>
      </c>
      <c r="D80" s="4">
        <v>1</v>
      </c>
      <c r="E80" s="4">
        <v>215</v>
      </c>
      <c r="F80" s="4">
        <f>ROUND(Source!AT65,O80)</f>
        <v>0</v>
      </c>
      <c r="G80" s="4" t="s">
        <v>155</v>
      </c>
      <c r="H80" s="4" t="s">
        <v>156</v>
      </c>
      <c r="I80" s="4"/>
      <c r="J80" s="4"/>
      <c r="K80" s="4">
        <v>215</v>
      </c>
      <c r="L80" s="4">
        <v>16</v>
      </c>
      <c r="M80" s="4">
        <v>3</v>
      </c>
      <c r="N80" s="4" t="s">
        <v>3</v>
      </c>
      <c r="O80" s="4">
        <v>0</v>
      </c>
      <c r="P80" s="4"/>
    </row>
    <row r="81" spans="1:16" ht="12.75">
      <c r="A81" s="4">
        <v>50</v>
      </c>
      <c r="B81" s="4">
        <v>0</v>
      </c>
      <c r="C81" s="4">
        <v>0</v>
      </c>
      <c r="D81" s="4">
        <v>1</v>
      </c>
      <c r="E81" s="4">
        <v>217</v>
      </c>
      <c r="F81" s="4">
        <f>ROUND(Source!AU65,O81)</f>
        <v>0</v>
      </c>
      <c r="G81" s="4" t="s">
        <v>157</v>
      </c>
      <c r="H81" s="4" t="s">
        <v>158</v>
      </c>
      <c r="I81" s="4"/>
      <c r="J81" s="4"/>
      <c r="K81" s="4">
        <v>217</v>
      </c>
      <c r="L81" s="4">
        <v>17</v>
      </c>
      <c r="M81" s="4">
        <v>3</v>
      </c>
      <c r="N81" s="4" t="s">
        <v>3</v>
      </c>
      <c r="O81" s="4">
        <v>0</v>
      </c>
      <c r="P81" s="4"/>
    </row>
    <row r="82" spans="1:16" ht="12.75">
      <c r="A82" s="4">
        <v>50</v>
      </c>
      <c r="B82" s="4">
        <v>0</v>
      </c>
      <c r="C82" s="4">
        <v>0</v>
      </c>
      <c r="D82" s="4">
        <v>1</v>
      </c>
      <c r="E82" s="4">
        <v>206</v>
      </c>
      <c r="F82" s="4">
        <f>ROUND(Source!T65,O82)</f>
        <v>0</v>
      </c>
      <c r="G82" s="4" t="s">
        <v>159</v>
      </c>
      <c r="H82" s="4" t="s">
        <v>160</v>
      </c>
      <c r="I82" s="4"/>
      <c r="J82" s="4"/>
      <c r="K82" s="4">
        <v>206</v>
      </c>
      <c r="L82" s="4">
        <v>18</v>
      </c>
      <c r="M82" s="4">
        <v>3</v>
      </c>
      <c r="N82" s="4" t="s">
        <v>3</v>
      </c>
      <c r="O82" s="4">
        <v>0</v>
      </c>
      <c r="P82" s="4"/>
    </row>
    <row r="83" spans="1:16" ht="12.75">
      <c r="A83" s="4">
        <v>50</v>
      </c>
      <c r="B83" s="4">
        <v>0</v>
      </c>
      <c r="C83" s="4">
        <v>0</v>
      </c>
      <c r="D83" s="4">
        <v>1</v>
      </c>
      <c r="E83" s="4">
        <v>207</v>
      </c>
      <c r="F83" s="4">
        <f>Source!U65</f>
        <v>3244.62659086</v>
      </c>
      <c r="G83" s="4" t="s">
        <v>161</v>
      </c>
      <c r="H83" s="4" t="s">
        <v>162</v>
      </c>
      <c r="I83" s="4"/>
      <c r="J83" s="4"/>
      <c r="K83" s="4">
        <v>207</v>
      </c>
      <c r="L83" s="4">
        <v>19</v>
      </c>
      <c r="M83" s="4">
        <v>3</v>
      </c>
      <c r="N83" s="4" t="s">
        <v>3</v>
      </c>
      <c r="O83" s="4">
        <v>-1</v>
      </c>
      <c r="P83" s="4"/>
    </row>
    <row r="84" spans="1:16" ht="12.75">
      <c r="A84" s="4">
        <v>50</v>
      </c>
      <c r="B84" s="4">
        <v>0</v>
      </c>
      <c r="C84" s="4">
        <v>0</v>
      </c>
      <c r="D84" s="4">
        <v>1</v>
      </c>
      <c r="E84" s="4">
        <v>208</v>
      </c>
      <c r="F84" s="4">
        <f>Source!V65</f>
        <v>117.0337975</v>
      </c>
      <c r="G84" s="4" t="s">
        <v>163</v>
      </c>
      <c r="H84" s="4" t="s">
        <v>164</v>
      </c>
      <c r="I84" s="4"/>
      <c r="J84" s="4"/>
      <c r="K84" s="4">
        <v>208</v>
      </c>
      <c r="L84" s="4">
        <v>20</v>
      </c>
      <c r="M84" s="4">
        <v>3</v>
      </c>
      <c r="N84" s="4" t="s">
        <v>3</v>
      </c>
      <c r="O84" s="4">
        <v>-1</v>
      </c>
      <c r="P84" s="4"/>
    </row>
    <row r="85" spans="1:16" ht="12.75">
      <c r="A85" s="4">
        <v>50</v>
      </c>
      <c r="B85" s="4">
        <v>0</v>
      </c>
      <c r="C85" s="4">
        <v>0</v>
      </c>
      <c r="D85" s="4">
        <v>1</v>
      </c>
      <c r="E85" s="4">
        <v>209</v>
      </c>
      <c r="F85" s="4">
        <f>ROUND(Source!W65,O85)</f>
        <v>0</v>
      </c>
      <c r="G85" s="4" t="s">
        <v>165</v>
      </c>
      <c r="H85" s="4" t="s">
        <v>166</v>
      </c>
      <c r="I85" s="4"/>
      <c r="J85" s="4"/>
      <c r="K85" s="4">
        <v>209</v>
      </c>
      <c r="L85" s="4">
        <v>21</v>
      </c>
      <c r="M85" s="4">
        <v>3</v>
      </c>
      <c r="N85" s="4" t="s">
        <v>3</v>
      </c>
      <c r="O85" s="4">
        <v>0</v>
      </c>
      <c r="P85" s="4"/>
    </row>
    <row r="86" spans="1:16" ht="12.75">
      <c r="A86" s="4">
        <v>50</v>
      </c>
      <c r="B86" s="4">
        <v>1</v>
      </c>
      <c r="C86" s="4">
        <v>0</v>
      </c>
      <c r="D86" s="4">
        <v>1</v>
      </c>
      <c r="E86" s="4">
        <v>210</v>
      </c>
      <c r="F86" s="4">
        <f>ROUND(Source!X65,O86)</f>
        <v>342301</v>
      </c>
      <c r="G86" s="4" t="s">
        <v>167</v>
      </c>
      <c r="H86" s="4" t="s">
        <v>168</v>
      </c>
      <c r="I86" s="4"/>
      <c r="J86" s="4"/>
      <c r="K86" s="4">
        <v>210</v>
      </c>
      <c r="L86" s="4">
        <v>22</v>
      </c>
      <c r="M86" s="4">
        <v>0</v>
      </c>
      <c r="N86" s="4" t="s">
        <v>3</v>
      </c>
      <c r="O86" s="4">
        <v>0</v>
      </c>
      <c r="P86" s="4"/>
    </row>
    <row r="87" spans="1:16" ht="12.75">
      <c r="A87" s="4">
        <v>50</v>
      </c>
      <c r="B87" s="4">
        <v>1</v>
      </c>
      <c r="C87" s="4">
        <v>0</v>
      </c>
      <c r="D87" s="4">
        <v>1</v>
      </c>
      <c r="E87" s="4">
        <v>211</v>
      </c>
      <c r="F87" s="4">
        <f>ROUND(Source!Y65,O87)</f>
        <v>232892</v>
      </c>
      <c r="G87" s="4" t="s">
        <v>169</v>
      </c>
      <c r="H87" s="4" t="s">
        <v>170</v>
      </c>
      <c r="I87" s="4"/>
      <c r="J87" s="4"/>
      <c r="K87" s="4">
        <v>211</v>
      </c>
      <c r="L87" s="4">
        <v>23</v>
      </c>
      <c r="M87" s="4">
        <v>0</v>
      </c>
      <c r="N87" s="4" t="s">
        <v>3</v>
      </c>
      <c r="O87" s="4">
        <v>0</v>
      </c>
      <c r="P87" s="4"/>
    </row>
    <row r="88" spans="1:16" ht="12.75">
      <c r="A88" s="4">
        <v>50</v>
      </c>
      <c r="B88" s="4">
        <v>0</v>
      </c>
      <c r="C88" s="4">
        <v>0</v>
      </c>
      <c r="D88" s="4">
        <v>1</v>
      </c>
      <c r="E88" s="4">
        <v>224</v>
      </c>
      <c r="F88" s="4">
        <f>ROUND(Source!AR65,O88)</f>
        <v>2031649</v>
      </c>
      <c r="G88" s="4" t="s">
        <v>171</v>
      </c>
      <c r="H88" s="4" t="s">
        <v>172</v>
      </c>
      <c r="I88" s="4"/>
      <c r="J88" s="4"/>
      <c r="K88" s="4">
        <v>224</v>
      </c>
      <c r="L88" s="4">
        <v>24</v>
      </c>
      <c r="M88" s="4">
        <v>3</v>
      </c>
      <c r="N88" s="4" t="s">
        <v>3</v>
      </c>
      <c r="O88" s="4">
        <v>0</v>
      </c>
      <c r="P88" s="4"/>
    </row>
    <row r="89" spans="1:16" ht="12.75">
      <c r="A89" s="4">
        <v>50</v>
      </c>
      <c r="B89" s="4">
        <v>1</v>
      </c>
      <c r="C89" s="4">
        <v>0</v>
      </c>
      <c r="D89" s="4">
        <v>1</v>
      </c>
      <c r="E89" s="4">
        <v>202</v>
      </c>
      <c r="F89" s="4">
        <f>ROUND(Source!P65,O89)</f>
        <v>905631</v>
      </c>
      <c r="G89" s="4" t="s">
        <v>129</v>
      </c>
      <c r="H89" s="4" t="s">
        <v>130</v>
      </c>
      <c r="I89" s="4"/>
      <c r="J89" s="4"/>
      <c r="K89" s="4">
        <v>202</v>
      </c>
      <c r="L89" s="4">
        <v>25</v>
      </c>
      <c r="M89" s="4">
        <v>0</v>
      </c>
      <c r="N89" s="4" t="s">
        <v>3</v>
      </c>
      <c r="O89" s="4">
        <v>0</v>
      </c>
      <c r="P89" s="4"/>
    </row>
    <row r="90" spans="1:16" ht="12.75">
      <c r="A90" s="4">
        <v>50</v>
      </c>
      <c r="B90" s="4">
        <v>1</v>
      </c>
      <c r="C90" s="4">
        <v>0</v>
      </c>
      <c r="D90" s="4">
        <v>2</v>
      </c>
      <c r="E90" s="4">
        <v>0</v>
      </c>
      <c r="F90" s="4">
        <f>ROUND(F76+F78+F86+F87,O90)</f>
        <v>1126018</v>
      </c>
      <c r="G90" s="4" t="s">
        <v>173</v>
      </c>
      <c r="H90" s="4" t="s">
        <v>174</v>
      </c>
      <c r="I90" s="4"/>
      <c r="J90" s="4"/>
      <c r="K90" s="4">
        <v>212</v>
      </c>
      <c r="L90" s="4">
        <v>26</v>
      </c>
      <c r="M90" s="4">
        <v>0</v>
      </c>
      <c r="N90" s="4" t="s">
        <v>3</v>
      </c>
      <c r="O90" s="4">
        <v>0</v>
      </c>
      <c r="P90" s="4"/>
    </row>
    <row r="91" spans="1:16" ht="12.75">
      <c r="A91" s="4">
        <v>50</v>
      </c>
      <c r="B91" s="4">
        <v>1</v>
      </c>
      <c r="C91" s="4">
        <v>0</v>
      </c>
      <c r="D91" s="4">
        <v>2</v>
      </c>
      <c r="E91" s="4">
        <v>0</v>
      </c>
      <c r="F91" s="4">
        <f>ROUND(F89*0.07,O91)</f>
        <v>63394</v>
      </c>
      <c r="G91" s="4" t="s">
        <v>175</v>
      </c>
      <c r="H91" s="4" t="s">
        <v>176</v>
      </c>
      <c r="I91" s="4"/>
      <c r="J91" s="4"/>
      <c r="K91" s="4">
        <v>212</v>
      </c>
      <c r="L91" s="4">
        <v>27</v>
      </c>
      <c r="M91" s="4">
        <v>0</v>
      </c>
      <c r="N91" s="4" t="s">
        <v>3</v>
      </c>
      <c r="O91" s="4">
        <v>0</v>
      </c>
      <c r="P91" s="4"/>
    </row>
    <row r="92" spans="1:16" ht="12.75">
      <c r="A92" s="4">
        <v>50</v>
      </c>
      <c r="B92" s="4">
        <v>1</v>
      </c>
      <c r="C92" s="4">
        <v>0</v>
      </c>
      <c r="D92" s="4">
        <v>2</v>
      </c>
      <c r="E92" s="4">
        <v>0</v>
      </c>
      <c r="F92" s="4">
        <f>ROUND(F90+F89+F91,O92)</f>
        <v>2095043</v>
      </c>
      <c r="G92" s="4" t="s">
        <v>177</v>
      </c>
      <c r="H92" s="4" t="s">
        <v>178</v>
      </c>
      <c r="I92" s="4"/>
      <c r="J92" s="4"/>
      <c r="K92" s="4">
        <v>212</v>
      </c>
      <c r="L92" s="4">
        <v>28</v>
      </c>
      <c r="M92" s="4">
        <v>0</v>
      </c>
      <c r="N92" s="4" t="s">
        <v>3</v>
      </c>
      <c r="O92" s="4">
        <v>0</v>
      </c>
      <c r="P92" s="4"/>
    </row>
    <row r="93" spans="1:16" ht="12.75">
      <c r="A93" s="4">
        <v>50</v>
      </c>
      <c r="B93" s="4">
        <v>1</v>
      </c>
      <c r="C93" s="4">
        <v>0</v>
      </c>
      <c r="D93" s="4">
        <v>2</v>
      </c>
      <c r="E93" s="4">
        <v>0</v>
      </c>
      <c r="F93" s="4">
        <f>ROUND(F92*0.18,O93)</f>
        <v>377108</v>
      </c>
      <c r="G93" s="4" t="s">
        <v>179</v>
      </c>
      <c r="H93" s="4" t="s">
        <v>180</v>
      </c>
      <c r="I93" s="4"/>
      <c r="J93" s="4"/>
      <c r="K93" s="4">
        <v>212</v>
      </c>
      <c r="L93" s="4">
        <v>29</v>
      </c>
      <c r="M93" s="4">
        <v>0</v>
      </c>
      <c r="N93" s="4" t="s">
        <v>3</v>
      </c>
      <c r="O93" s="4">
        <v>0</v>
      </c>
      <c r="P93" s="4"/>
    </row>
    <row r="94" spans="1:16" ht="12.75">
      <c r="A94" s="4">
        <v>50</v>
      </c>
      <c r="B94" s="4">
        <v>1</v>
      </c>
      <c r="C94" s="4">
        <v>0</v>
      </c>
      <c r="D94" s="4">
        <v>2</v>
      </c>
      <c r="E94" s="4">
        <v>0</v>
      </c>
      <c r="F94" s="4">
        <f>ROUND(F92+F93,O94)</f>
        <v>2472151</v>
      </c>
      <c r="G94" s="4" t="s">
        <v>181</v>
      </c>
      <c r="H94" s="4" t="s">
        <v>182</v>
      </c>
      <c r="I94" s="4"/>
      <c r="J94" s="4"/>
      <c r="K94" s="4">
        <v>212</v>
      </c>
      <c r="L94" s="4">
        <v>30</v>
      </c>
      <c r="M94" s="4">
        <v>0</v>
      </c>
      <c r="N94" s="4" t="s">
        <v>3</v>
      </c>
      <c r="O94" s="4">
        <v>0</v>
      </c>
      <c r="P94" s="4"/>
    </row>
    <row r="97" spans="1:14" ht="12.75">
      <c r="A97">
        <v>70</v>
      </c>
      <c r="B97">
        <v>1</v>
      </c>
      <c r="D97">
        <v>1</v>
      </c>
      <c r="E97" t="s">
        <v>183</v>
      </c>
      <c r="F97" t="s">
        <v>184</v>
      </c>
      <c r="G97">
        <v>0</v>
      </c>
      <c r="H97">
        <v>0</v>
      </c>
      <c r="I97" t="s">
        <v>185</v>
      </c>
      <c r="J97">
        <v>0</v>
      </c>
      <c r="K97">
        <v>0</v>
      </c>
      <c r="N97">
        <v>0</v>
      </c>
    </row>
    <row r="98" spans="1:14" ht="12.75">
      <c r="A98">
        <v>70</v>
      </c>
      <c r="B98">
        <v>1</v>
      </c>
      <c r="D98">
        <v>2</v>
      </c>
      <c r="E98" t="s">
        <v>186</v>
      </c>
      <c r="F98" t="s">
        <v>187</v>
      </c>
      <c r="G98">
        <v>0</v>
      </c>
      <c r="H98">
        <v>1</v>
      </c>
      <c r="I98" t="s">
        <v>188</v>
      </c>
      <c r="J98">
        <v>0</v>
      </c>
      <c r="K98">
        <v>0</v>
      </c>
      <c r="N98">
        <v>0</v>
      </c>
    </row>
    <row r="99" spans="1:14" ht="12.75">
      <c r="A99">
        <v>70</v>
      </c>
      <c r="B99">
        <v>1</v>
      </c>
      <c r="D99">
        <v>3</v>
      </c>
      <c r="E99" t="s">
        <v>189</v>
      </c>
      <c r="F99" t="s">
        <v>190</v>
      </c>
      <c r="G99">
        <v>0</v>
      </c>
      <c r="H99">
        <v>0</v>
      </c>
      <c r="I99" t="s">
        <v>191</v>
      </c>
      <c r="J99">
        <v>0</v>
      </c>
      <c r="K99">
        <v>0</v>
      </c>
      <c r="N99">
        <v>0</v>
      </c>
    </row>
    <row r="100" spans="1:14" ht="12.75">
      <c r="A100">
        <v>70</v>
      </c>
      <c r="B100">
        <v>1</v>
      </c>
      <c r="D100">
        <v>4</v>
      </c>
      <c r="E100" t="s">
        <v>192</v>
      </c>
      <c r="F100" t="s">
        <v>193</v>
      </c>
      <c r="G100">
        <v>0</v>
      </c>
      <c r="H100">
        <v>0</v>
      </c>
      <c r="I100" t="s">
        <v>194</v>
      </c>
      <c r="J100">
        <v>0</v>
      </c>
      <c r="K100">
        <v>0</v>
      </c>
      <c r="N100">
        <v>0</v>
      </c>
    </row>
    <row r="101" spans="1:14" ht="12.75">
      <c r="A101">
        <v>70</v>
      </c>
      <c r="B101">
        <v>1</v>
      </c>
      <c r="D101">
        <v>5</v>
      </c>
      <c r="E101" t="s">
        <v>195</v>
      </c>
      <c r="F101" t="s">
        <v>196</v>
      </c>
      <c r="G101">
        <v>0</v>
      </c>
      <c r="H101">
        <v>1</v>
      </c>
      <c r="I101" t="s">
        <v>197</v>
      </c>
      <c r="J101">
        <v>0</v>
      </c>
      <c r="K101">
        <v>0</v>
      </c>
      <c r="N101">
        <v>0</v>
      </c>
    </row>
    <row r="102" spans="1:14" ht="12.75">
      <c r="A102">
        <v>70</v>
      </c>
      <c r="B102">
        <v>1</v>
      </c>
      <c r="D102">
        <v>6</v>
      </c>
      <c r="E102" t="s">
        <v>198</v>
      </c>
      <c r="F102" t="s">
        <v>199</v>
      </c>
      <c r="G102">
        <v>0</v>
      </c>
      <c r="H102">
        <v>0</v>
      </c>
      <c r="I102" t="s">
        <v>200</v>
      </c>
      <c r="J102">
        <v>0</v>
      </c>
      <c r="K102">
        <v>0</v>
      </c>
      <c r="N102">
        <v>0</v>
      </c>
    </row>
    <row r="103" spans="1:14" ht="12.75">
      <c r="A103">
        <v>70</v>
      </c>
      <c r="B103">
        <v>1</v>
      </c>
      <c r="D103">
        <v>7</v>
      </c>
      <c r="E103" t="s">
        <v>201</v>
      </c>
      <c r="F103" t="s">
        <v>202</v>
      </c>
      <c r="G103">
        <v>0</v>
      </c>
      <c r="H103">
        <v>0</v>
      </c>
      <c r="I103" t="s">
        <v>203</v>
      </c>
      <c r="J103">
        <v>0</v>
      </c>
      <c r="K103">
        <v>0</v>
      </c>
      <c r="N103">
        <v>0</v>
      </c>
    </row>
    <row r="104" spans="1:14" ht="12.75">
      <c r="A104">
        <v>70</v>
      </c>
      <c r="B104">
        <v>1</v>
      </c>
      <c r="D104">
        <v>8</v>
      </c>
      <c r="E104" t="s">
        <v>204</v>
      </c>
      <c r="F104" t="s">
        <v>205</v>
      </c>
      <c r="G104">
        <v>0</v>
      </c>
      <c r="H104">
        <v>0</v>
      </c>
      <c r="I104" t="s">
        <v>206</v>
      </c>
      <c r="J104">
        <v>0</v>
      </c>
      <c r="K104">
        <v>0</v>
      </c>
      <c r="N104">
        <v>0</v>
      </c>
    </row>
    <row r="105" spans="1:14" ht="12.75">
      <c r="A105">
        <v>70</v>
      </c>
      <c r="B105">
        <v>1</v>
      </c>
      <c r="D105">
        <v>9</v>
      </c>
      <c r="E105" t="s">
        <v>207</v>
      </c>
      <c r="F105" t="s">
        <v>208</v>
      </c>
      <c r="G105">
        <v>0</v>
      </c>
      <c r="H105">
        <v>0</v>
      </c>
      <c r="I105" t="s">
        <v>209</v>
      </c>
      <c r="J105">
        <v>0</v>
      </c>
      <c r="K105">
        <v>0</v>
      </c>
      <c r="N105">
        <v>0</v>
      </c>
    </row>
    <row r="106" spans="1:14" ht="12.75">
      <c r="A106">
        <v>70</v>
      </c>
      <c r="B106">
        <v>1</v>
      </c>
      <c r="D106">
        <v>10</v>
      </c>
      <c r="E106" t="s">
        <v>210</v>
      </c>
      <c r="F106" t="s">
        <v>211</v>
      </c>
      <c r="G106">
        <v>0</v>
      </c>
      <c r="H106">
        <v>0</v>
      </c>
      <c r="I106" t="s">
        <v>212</v>
      </c>
      <c r="J106">
        <v>0</v>
      </c>
      <c r="K106">
        <v>0</v>
      </c>
      <c r="N106">
        <v>0</v>
      </c>
    </row>
    <row r="107" spans="1:14" ht="12.75">
      <c r="A107">
        <v>70</v>
      </c>
      <c r="B107">
        <v>1</v>
      </c>
      <c r="D107">
        <v>1</v>
      </c>
      <c r="E107" t="s">
        <v>213</v>
      </c>
      <c r="F107" t="s">
        <v>214</v>
      </c>
      <c r="G107">
        <v>0.9</v>
      </c>
      <c r="H107">
        <v>0.9</v>
      </c>
      <c r="I107" t="s">
        <v>215</v>
      </c>
      <c r="J107">
        <v>0</v>
      </c>
      <c r="K107">
        <v>0</v>
      </c>
      <c r="N107">
        <v>0</v>
      </c>
    </row>
    <row r="108" spans="1:14" ht="12.75">
      <c r="A108">
        <v>70</v>
      </c>
      <c r="B108">
        <v>1</v>
      </c>
      <c r="D108">
        <v>2</v>
      </c>
      <c r="E108" t="s">
        <v>216</v>
      </c>
      <c r="F108" t="s">
        <v>217</v>
      </c>
      <c r="G108">
        <v>0.85</v>
      </c>
      <c r="H108">
        <v>0.85</v>
      </c>
      <c r="I108" t="s">
        <v>218</v>
      </c>
      <c r="J108">
        <v>0</v>
      </c>
      <c r="K108">
        <v>0</v>
      </c>
      <c r="N108">
        <v>0</v>
      </c>
    </row>
    <row r="109" spans="1:14" ht="12.75">
      <c r="A109">
        <v>70</v>
      </c>
      <c r="B109">
        <v>1</v>
      </c>
      <c r="D109">
        <v>3</v>
      </c>
      <c r="E109" t="s">
        <v>219</v>
      </c>
      <c r="F109" t="s">
        <v>220</v>
      </c>
      <c r="G109">
        <v>0.85</v>
      </c>
      <c r="H109">
        <v>0.85</v>
      </c>
      <c r="I109" t="s">
        <v>221</v>
      </c>
      <c r="J109">
        <v>0</v>
      </c>
      <c r="K109">
        <v>0</v>
      </c>
      <c r="N109">
        <v>0</v>
      </c>
    </row>
    <row r="110" spans="1:14" ht="12.75">
      <c r="A110">
        <v>70</v>
      </c>
      <c r="B110">
        <v>1</v>
      </c>
      <c r="D110">
        <v>4</v>
      </c>
      <c r="E110" t="s">
        <v>222</v>
      </c>
      <c r="F110" t="s">
        <v>223</v>
      </c>
      <c r="G110">
        <v>0.8</v>
      </c>
      <c r="H110">
        <v>0.8</v>
      </c>
      <c r="I110" t="s">
        <v>224</v>
      </c>
      <c r="J110">
        <v>0</v>
      </c>
      <c r="K110">
        <v>0</v>
      </c>
      <c r="N110">
        <v>0</v>
      </c>
    </row>
    <row r="111" spans="1:14" ht="12.75">
      <c r="A111">
        <v>70</v>
      </c>
      <c r="B111">
        <v>1</v>
      </c>
      <c r="D111">
        <v>5</v>
      </c>
      <c r="E111" t="s">
        <v>225</v>
      </c>
      <c r="F111" t="s">
        <v>226</v>
      </c>
      <c r="G111">
        <v>0.94</v>
      </c>
      <c r="H111">
        <v>0.94</v>
      </c>
      <c r="I111" t="s">
        <v>227</v>
      </c>
      <c r="J111">
        <v>0</v>
      </c>
      <c r="K111">
        <v>0</v>
      </c>
      <c r="N111">
        <v>0</v>
      </c>
    </row>
    <row r="113" ht="12.75">
      <c r="A113">
        <v>-1</v>
      </c>
    </row>
    <row r="115" spans="1:15" ht="12.75">
      <c r="A115" s="3">
        <v>75</v>
      </c>
      <c r="B115" s="3" t="s">
        <v>228</v>
      </c>
      <c r="C115" s="3">
        <v>2000</v>
      </c>
      <c r="D115" s="3">
        <v>0</v>
      </c>
      <c r="E115" s="3">
        <v>1</v>
      </c>
      <c r="F115" s="3">
        <v>0</v>
      </c>
      <c r="G115" s="3">
        <v>0</v>
      </c>
      <c r="H115" s="3">
        <v>1</v>
      </c>
      <c r="I115" s="3">
        <v>0</v>
      </c>
      <c r="J115" s="3">
        <v>1</v>
      </c>
      <c r="K115" s="3">
        <v>0</v>
      </c>
      <c r="L115" s="3">
        <v>0</v>
      </c>
      <c r="M115" s="3">
        <v>0</v>
      </c>
      <c r="N115" s="3">
        <v>26917020</v>
      </c>
      <c r="O115" s="3">
        <v>1</v>
      </c>
    </row>
    <row r="119" spans="1:5" ht="12.75">
      <c r="A119">
        <v>65</v>
      </c>
      <c r="C119">
        <v>1</v>
      </c>
      <c r="D119">
        <v>0</v>
      </c>
      <c r="E119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C5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229</v>
      </c>
      <c r="F1">
        <v>0</v>
      </c>
      <c r="G1">
        <v>0</v>
      </c>
      <c r="H1">
        <v>0</v>
      </c>
      <c r="I1" t="s">
        <v>2</v>
      </c>
      <c r="K1">
        <v>1</v>
      </c>
      <c r="L1">
        <v>54746</v>
      </c>
      <c r="M1">
        <v>11</v>
      </c>
    </row>
    <row r="12" spans="1:133" ht="12.75">
      <c r="A12" s="1">
        <v>1</v>
      </c>
      <c r="B12" s="1">
        <v>52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3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0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1</v>
      </c>
      <c r="BU12" s="1">
        <v>1</v>
      </c>
      <c r="BV12" s="1">
        <v>1</v>
      </c>
      <c r="BW12" s="1">
        <v>1</v>
      </c>
      <c r="BX12" s="1">
        <v>0</v>
      </c>
      <c r="BY12" s="1" t="s">
        <v>3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8712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0</v>
      </c>
      <c r="C14" s="1">
        <v>0</v>
      </c>
      <c r="D14" s="1">
        <v>26917020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63" ht="12.75">
      <c r="A16" s="5">
        <v>3</v>
      </c>
      <c r="B16" s="5">
        <v>1</v>
      </c>
      <c r="C16" s="5" t="s">
        <v>11</v>
      </c>
      <c r="D16" s="5" t="s">
        <v>11</v>
      </c>
      <c r="E16" s="6">
        <v>2031.649</v>
      </c>
      <c r="F16" s="6">
        <v>0</v>
      </c>
      <c r="G16" s="6">
        <v>0</v>
      </c>
      <c r="H16" s="6">
        <v>0</v>
      </c>
      <c r="I16" s="6">
        <v>2031.649</v>
      </c>
      <c r="J16" s="6">
        <v>480.163</v>
      </c>
      <c r="AI16" s="5">
        <v>0</v>
      </c>
      <c r="AJ16" s="5">
        <v>-1</v>
      </c>
      <c r="AK16" s="5" t="s">
        <v>3</v>
      </c>
      <c r="AL16" s="5" t="s">
        <v>3</v>
      </c>
      <c r="AM16" s="5" t="s">
        <v>3</v>
      </c>
      <c r="AN16" s="5">
        <v>0</v>
      </c>
      <c r="AO16" s="5" t="s">
        <v>3</v>
      </c>
      <c r="AP16" s="5" t="s">
        <v>3</v>
      </c>
      <c r="AT16" s="6">
        <v>1456456</v>
      </c>
      <c r="AU16" s="6">
        <v>905631</v>
      </c>
      <c r="AV16" s="6">
        <v>0</v>
      </c>
      <c r="AW16" s="6">
        <v>0</v>
      </c>
      <c r="AX16" s="6">
        <v>0</v>
      </c>
      <c r="AY16" s="6">
        <v>70662</v>
      </c>
      <c r="AZ16" s="6">
        <v>0</v>
      </c>
      <c r="BA16" s="6">
        <v>480163</v>
      </c>
      <c r="BB16" s="6">
        <v>2031649</v>
      </c>
      <c r="BC16" s="6">
        <v>0</v>
      </c>
      <c r="BD16" s="6">
        <v>0</v>
      </c>
      <c r="BE16" s="6">
        <v>0</v>
      </c>
      <c r="BF16" s="6">
        <v>3244.62659086</v>
      </c>
      <c r="BG16" s="6">
        <v>117.03379749999999</v>
      </c>
      <c r="BH16" s="6">
        <v>0</v>
      </c>
      <c r="BI16" s="6">
        <v>342301</v>
      </c>
      <c r="BJ16" s="6">
        <v>232892</v>
      </c>
      <c r="BK16" s="6">
        <v>2031649</v>
      </c>
    </row>
    <row r="18" spans="1:19" ht="12.75">
      <c r="A18">
        <v>51</v>
      </c>
      <c r="E18" s="7">
        <v>2031.649</v>
      </c>
      <c r="F18" s="7">
        <v>0</v>
      </c>
      <c r="G18" s="7">
        <v>0</v>
      </c>
      <c r="H18" s="7">
        <v>0</v>
      </c>
      <c r="I18" s="7">
        <v>2031.649</v>
      </c>
      <c r="J18" s="7">
        <v>480.163</v>
      </c>
      <c r="K18" s="7"/>
      <c r="L18" s="7"/>
      <c r="M18" s="7"/>
      <c r="N18" s="7"/>
      <c r="O18" s="7"/>
      <c r="P18" s="7"/>
      <c r="Q18" s="7"/>
      <c r="R18" s="7"/>
      <c r="S18" s="7"/>
    </row>
    <row r="20" spans="1:16" ht="12.75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1456456</v>
      </c>
      <c r="G20" s="4" t="s">
        <v>127</v>
      </c>
      <c r="H20" s="4" t="s">
        <v>128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0</v>
      </c>
      <c r="P20" s="4"/>
    </row>
    <row r="21" spans="1:16" ht="12.75">
      <c r="A21" s="4">
        <v>50</v>
      </c>
      <c r="B21" s="4">
        <v>0</v>
      </c>
      <c r="C21" s="4">
        <v>0</v>
      </c>
      <c r="D21" s="4">
        <v>1</v>
      </c>
      <c r="E21" s="4">
        <v>0</v>
      </c>
      <c r="F21" s="4">
        <v>0</v>
      </c>
      <c r="G21" s="4" t="s">
        <v>131</v>
      </c>
      <c r="H21" s="4" t="s">
        <v>132</v>
      </c>
      <c r="I21" s="4"/>
      <c r="J21" s="4"/>
      <c r="K21" s="4">
        <v>222</v>
      </c>
      <c r="L21" s="4">
        <v>4</v>
      </c>
      <c r="M21" s="4">
        <v>3</v>
      </c>
      <c r="N21" s="4" t="s">
        <v>3</v>
      </c>
      <c r="O21" s="4">
        <v>0</v>
      </c>
      <c r="P21" s="4"/>
    </row>
    <row r="22" spans="1:16" ht="12.75">
      <c r="A22" s="4">
        <v>50</v>
      </c>
      <c r="B22" s="4">
        <v>0</v>
      </c>
      <c r="C22" s="4">
        <v>0</v>
      </c>
      <c r="D22" s="4">
        <v>1</v>
      </c>
      <c r="E22" s="4">
        <v>225</v>
      </c>
      <c r="F22" s="4">
        <v>905631</v>
      </c>
      <c r="G22" s="4" t="s">
        <v>133</v>
      </c>
      <c r="H22" s="4" t="s">
        <v>134</v>
      </c>
      <c r="I22" s="4"/>
      <c r="J22" s="4"/>
      <c r="K22" s="4">
        <v>225</v>
      </c>
      <c r="L22" s="4">
        <v>5</v>
      </c>
      <c r="M22" s="4">
        <v>3</v>
      </c>
      <c r="N22" s="4" t="s">
        <v>3</v>
      </c>
      <c r="O22" s="4">
        <v>0</v>
      </c>
      <c r="P22" s="4"/>
    </row>
    <row r="23" spans="1:16" ht="12.75">
      <c r="A23" s="4">
        <v>50</v>
      </c>
      <c r="B23" s="4">
        <v>0</v>
      </c>
      <c r="C23" s="4">
        <v>0</v>
      </c>
      <c r="D23" s="4">
        <v>1</v>
      </c>
      <c r="E23" s="4">
        <v>226</v>
      </c>
      <c r="F23" s="4">
        <v>905631</v>
      </c>
      <c r="G23" s="4" t="s">
        <v>135</v>
      </c>
      <c r="H23" s="4" t="s">
        <v>136</v>
      </c>
      <c r="I23" s="4"/>
      <c r="J23" s="4"/>
      <c r="K23" s="4">
        <v>226</v>
      </c>
      <c r="L23" s="4">
        <v>6</v>
      </c>
      <c r="M23" s="4">
        <v>3</v>
      </c>
      <c r="N23" s="4" t="s">
        <v>3</v>
      </c>
      <c r="O23" s="4">
        <v>0</v>
      </c>
      <c r="P23" s="4"/>
    </row>
    <row r="24" spans="1:16" ht="12.75">
      <c r="A24" s="4">
        <v>50</v>
      </c>
      <c r="B24" s="4">
        <v>0</v>
      </c>
      <c r="C24" s="4">
        <v>0</v>
      </c>
      <c r="D24" s="4">
        <v>1</v>
      </c>
      <c r="E24" s="4">
        <v>227</v>
      </c>
      <c r="F24" s="4">
        <v>0</v>
      </c>
      <c r="G24" s="4" t="s">
        <v>137</v>
      </c>
      <c r="H24" s="4" t="s">
        <v>138</v>
      </c>
      <c r="I24" s="4"/>
      <c r="J24" s="4"/>
      <c r="K24" s="4">
        <v>227</v>
      </c>
      <c r="L24" s="4">
        <v>7</v>
      </c>
      <c r="M24" s="4">
        <v>3</v>
      </c>
      <c r="N24" s="4" t="s">
        <v>3</v>
      </c>
      <c r="O24" s="4">
        <v>0</v>
      </c>
      <c r="P24" s="4"/>
    </row>
    <row r="25" spans="1:16" ht="12.75">
      <c r="A25" s="4">
        <v>50</v>
      </c>
      <c r="B25" s="4">
        <v>0</v>
      </c>
      <c r="C25" s="4">
        <v>0</v>
      </c>
      <c r="D25" s="4">
        <v>1</v>
      </c>
      <c r="E25" s="4">
        <v>228</v>
      </c>
      <c r="F25" s="4">
        <v>905631</v>
      </c>
      <c r="G25" s="4" t="s">
        <v>139</v>
      </c>
      <c r="H25" s="4" t="s">
        <v>140</v>
      </c>
      <c r="I25" s="4"/>
      <c r="J25" s="4"/>
      <c r="K25" s="4">
        <v>228</v>
      </c>
      <c r="L25" s="4">
        <v>8</v>
      </c>
      <c r="M25" s="4">
        <v>3</v>
      </c>
      <c r="N25" s="4" t="s">
        <v>3</v>
      </c>
      <c r="O25" s="4">
        <v>0</v>
      </c>
      <c r="P25" s="4"/>
    </row>
    <row r="26" spans="1:16" ht="12.75">
      <c r="A26" s="4">
        <v>50</v>
      </c>
      <c r="B26" s="4">
        <v>0</v>
      </c>
      <c r="C26" s="4">
        <v>0</v>
      </c>
      <c r="D26" s="4">
        <v>1</v>
      </c>
      <c r="E26" s="4">
        <v>216</v>
      </c>
      <c r="F26" s="4">
        <v>0</v>
      </c>
      <c r="G26" s="4" t="s">
        <v>141</v>
      </c>
      <c r="H26" s="4" t="s">
        <v>142</v>
      </c>
      <c r="I26" s="4"/>
      <c r="J26" s="4"/>
      <c r="K26" s="4">
        <v>216</v>
      </c>
      <c r="L26" s="4">
        <v>9</v>
      </c>
      <c r="M26" s="4">
        <v>3</v>
      </c>
      <c r="N26" s="4" t="s">
        <v>3</v>
      </c>
      <c r="O26" s="4">
        <v>0</v>
      </c>
      <c r="P26" s="4"/>
    </row>
    <row r="27" spans="1:16" ht="12.75">
      <c r="A27" s="4">
        <v>50</v>
      </c>
      <c r="B27" s="4">
        <v>0</v>
      </c>
      <c r="C27" s="4">
        <v>0</v>
      </c>
      <c r="D27" s="4">
        <v>1</v>
      </c>
      <c r="E27" s="4">
        <v>223</v>
      </c>
      <c r="F27" s="4">
        <v>0</v>
      </c>
      <c r="G27" s="4" t="s">
        <v>143</v>
      </c>
      <c r="H27" s="4" t="s">
        <v>144</v>
      </c>
      <c r="I27" s="4"/>
      <c r="J27" s="4"/>
      <c r="K27" s="4">
        <v>223</v>
      </c>
      <c r="L27" s="4">
        <v>10</v>
      </c>
      <c r="M27" s="4">
        <v>3</v>
      </c>
      <c r="N27" s="4" t="s">
        <v>3</v>
      </c>
      <c r="O27" s="4">
        <v>0</v>
      </c>
      <c r="P27" s="4"/>
    </row>
    <row r="28" spans="1:16" ht="12.75">
      <c r="A28" s="4">
        <v>50</v>
      </c>
      <c r="B28" s="4">
        <v>0</v>
      </c>
      <c r="C28" s="4">
        <v>0</v>
      </c>
      <c r="D28" s="4">
        <v>1</v>
      </c>
      <c r="E28" s="4">
        <v>229</v>
      </c>
      <c r="F28" s="4">
        <v>0</v>
      </c>
      <c r="G28" s="4" t="s">
        <v>145</v>
      </c>
      <c r="H28" s="4" t="s">
        <v>146</v>
      </c>
      <c r="I28" s="4"/>
      <c r="J28" s="4"/>
      <c r="K28" s="4">
        <v>229</v>
      </c>
      <c r="L28" s="4">
        <v>11</v>
      </c>
      <c r="M28" s="4">
        <v>3</v>
      </c>
      <c r="N28" s="4" t="s">
        <v>3</v>
      </c>
      <c r="O28" s="4">
        <v>0</v>
      </c>
      <c r="P28" s="4"/>
    </row>
    <row r="29" spans="1:16" ht="12.75">
      <c r="A29" s="4">
        <v>50</v>
      </c>
      <c r="B29" s="4">
        <v>1</v>
      </c>
      <c r="C29" s="4">
        <v>0</v>
      </c>
      <c r="D29" s="4">
        <v>1</v>
      </c>
      <c r="E29" s="4">
        <v>203</v>
      </c>
      <c r="F29" s="4">
        <v>70662</v>
      </c>
      <c r="G29" s="4" t="s">
        <v>147</v>
      </c>
      <c r="H29" s="4" t="s">
        <v>148</v>
      </c>
      <c r="I29" s="4"/>
      <c r="J29" s="4"/>
      <c r="K29" s="4">
        <v>203</v>
      </c>
      <c r="L29" s="4">
        <v>12</v>
      </c>
      <c r="M29" s="4">
        <v>0</v>
      </c>
      <c r="N29" s="4" t="s">
        <v>3</v>
      </c>
      <c r="O29" s="4">
        <v>0</v>
      </c>
      <c r="P29" s="4"/>
    </row>
    <row r="30" spans="1:16" ht="12.75">
      <c r="A30" s="4">
        <v>50</v>
      </c>
      <c r="B30" s="4">
        <v>0</v>
      </c>
      <c r="C30" s="4">
        <v>0</v>
      </c>
      <c r="D30" s="4">
        <v>1</v>
      </c>
      <c r="E30" s="4">
        <v>204</v>
      </c>
      <c r="F30" s="4">
        <v>0</v>
      </c>
      <c r="G30" s="4" t="s">
        <v>149</v>
      </c>
      <c r="H30" s="4" t="s">
        <v>150</v>
      </c>
      <c r="I30" s="4"/>
      <c r="J30" s="4"/>
      <c r="K30" s="4">
        <v>204</v>
      </c>
      <c r="L30" s="4">
        <v>13</v>
      </c>
      <c r="M30" s="4">
        <v>3</v>
      </c>
      <c r="N30" s="4" t="s">
        <v>3</v>
      </c>
      <c r="O30" s="4">
        <v>0</v>
      </c>
      <c r="P30" s="4"/>
    </row>
    <row r="31" spans="1:16" ht="12.75">
      <c r="A31" s="4">
        <v>50</v>
      </c>
      <c r="B31" s="4">
        <v>1</v>
      </c>
      <c r="C31" s="4">
        <v>0</v>
      </c>
      <c r="D31" s="4">
        <v>1</v>
      </c>
      <c r="E31" s="4">
        <v>205</v>
      </c>
      <c r="F31" s="4">
        <v>480163</v>
      </c>
      <c r="G31" s="4" t="s">
        <v>151</v>
      </c>
      <c r="H31" s="4" t="s">
        <v>152</v>
      </c>
      <c r="I31" s="4"/>
      <c r="J31" s="4"/>
      <c r="K31" s="4">
        <v>205</v>
      </c>
      <c r="L31" s="4">
        <v>14</v>
      </c>
      <c r="M31" s="4">
        <v>0</v>
      </c>
      <c r="N31" s="4" t="s">
        <v>3</v>
      </c>
      <c r="O31" s="4">
        <v>0</v>
      </c>
      <c r="P31" s="4"/>
    </row>
    <row r="32" spans="1:16" ht="12.75">
      <c r="A32" s="4">
        <v>50</v>
      </c>
      <c r="B32" s="4">
        <v>0</v>
      </c>
      <c r="C32" s="4">
        <v>0</v>
      </c>
      <c r="D32" s="4">
        <v>1</v>
      </c>
      <c r="E32" s="4">
        <v>214</v>
      </c>
      <c r="F32" s="4">
        <v>2031649</v>
      </c>
      <c r="G32" s="4" t="s">
        <v>153</v>
      </c>
      <c r="H32" s="4" t="s">
        <v>154</v>
      </c>
      <c r="I32" s="4"/>
      <c r="J32" s="4"/>
      <c r="K32" s="4">
        <v>214</v>
      </c>
      <c r="L32" s="4">
        <v>15</v>
      </c>
      <c r="M32" s="4">
        <v>3</v>
      </c>
      <c r="N32" s="4" t="s">
        <v>3</v>
      </c>
      <c r="O32" s="4">
        <v>0</v>
      </c>
      <c r="P32" s="4"/>
    </row>
    <row r="33" spans="1:16" ht="12.75">
      <c r="A33" s="4">
        <v>50</v>
      </c>
      <c r="B33" s="4">
        <v>0</v>
      </c>
      <c r="C33" s="4">
        <v>0</v>
      </c>
      <c r="D33" s="4">
        <v>1</v>
      </c>
      <c r="E33" s="4">
        <v>215</v>
      </c>
      <c r="F33" s="4">
        <v>0</v>
      </c>
      <c r="G33" s="4" t="s">
        <v>155</v>
      </c>
      <c r="H33" s="4" t="s">
        <v>156</v>
      </c>
      <c r="I33" s="4"/>
      <c r="J33" s="4"/>
      <c r="K33" s="4">
        <v>215</v>
      </c>
      <c r="L33" s="4">
        <v>16</v>
      </c>
      <c r="M33" s="4">
        <v>3</v>
      </c>
      <c r="N33" s="4" t="s">
        <v>3</v>
      </c>
      <c r="O33" s="4">
        <v>0</v>
      </c>
      <c r="P33" s="4"/>
    </row>
    <row r="34" spans="1:16" ht="12.75">
      <c r="A34" s="4">
        <v>50</v>
      </c>
      <c r="B34" s="4">
        <v>0</v>
      </c>
      <c r="C34" s="4">
        <v>0</v>
      </c>
      <c r="D34" s="4">
        <v>1</v>
      </c>
      <c r="E34" s="4">
        <v>217</v>
      </c>
      <c r="F34" s="4">
        <v>0</v>
      </c>
      <c r="G34" s="4" t="s">
        <v>157</v>
      </c>
      <c r="H34" s="4" t="s">
        <v>158</v>
      </c>
      <c r="I34" s="4"/>
      <c r="J34" s="4"/>
      <c r="K34" s="4">
        <v>217</v>
      </c>
      <c r="L34" s="4">
        <v>17</v>
      </c>
      <c r="M34" s="4">
        <v>3</v>
      </c>
      <c r="N34" s="4" t="s">
        <v>3</v>
      </c>
      <c r="O34" s="4">
        <v>0</v>
      </c>
      <c r="P34" s="4"/>
    </row>
    <row r="35" spans="1:16" ht="12.75">
      <c r="A35" s="4">
        <v>50</v>
      </c>
      <c r="B35" s="4">
        <v>0</v>
      </c>
      <c r="C35" s="4">
        <v>0</v>
      </c>
      <c r="D35" s="4">
        <v>1</v>
      </c>
      <c r="E35" s="4">
        <v>206</v>
      </c>
      <c r="F35" s="4">
        <v>0</v>
      </c>
      <c r="G35" s="4" t="s">
        <v>159</v>
      </c>
      <c r="H35" s="4" t="s">
        <v>160</v>
      </c>
      <c r="I35" s="4"/>
      <c r="J35" s="4"/>
      <c r="K35" s="4">
        <v>206</v>
      </c>
      <c r="L35" s="4">
        <v>18</v>
      </c>
      <c r="M35" s="4">
        <v>3</v>
      </c>
      <c r="N35" s="4" t="s">
        <v>3</v>
      </c>
      <c r="O35" s="4">
        <v>0</v>
      </c>
      <c r="P35" s="4"/>
    </row>
    <row r="36" spans="1:16" ht="12.75">
      <c r="A36" s="4">
        <v>50</v>
      </c>
      <c r="B36" s="4">
        <v>0</v>
      </c>
      <c r="C36" s="4">
        <v>0</v>
      </c>
      <c r="D36" s="4">
        <v>1</v>
      </c>
      <c r="E36" s="4">
        <v>207</v>
      </c>
      <c r="F36" s="4">
        <v>3244.62659086</v>
      </c>
      <c r="G36" s="4" t="s">
        <v>161</v>
      </c>
      <c r="H36" s="4" t="s">
        <v>162</v>
      </c>
      <c r="I36" s="4"/>
      <c r="J36" s="4"/>
      <c r="K36" s="4">
        <v>207</v>
      </c>
      <c r="L36" s="4">
        <v>19</v>
      </c>
      <c r="M36" s="4">
        <v>3</v>
      </c>
      <c r="N36" s="4" t="s">
        <v>3</v>
      </c>
      <c r="O36" s="4">
        <v>-1</v>
      </c>
      <c r="P36" s="4"/>
    </row>
    <row r="37" spans="1:16" ht="12.75">
      <c r="A37" s="4">
        <v>50</v>
      </c>
      <c r="B37" s="4">
        <v>0</v>
      </c>
      <c r="C37" s="4">
        <v>0</v>
      </c>
      <c r="D37" s="4">
        <v>1</v>
      </c>
      <c r="E37" s="4">
        <v>208</v>
      </c>
      <c r="F37" s="4">
        <v>117.03379749999999</v>
      </c>
      <c r="G37" s="4" t="s">
        <v>163</v>
      </c>
      <c r="H37" s="4" t="s">
        <v>164</v>
      </c>
      <c r="I37" s="4"/>
      <c r="J37" s="4"/>
      <c r="K37" s="4">
        <v>208</v>
      </c>
      <c r="L37" s="4">
        <v>20</v>
      </c>
      <c r="M37" s="4">
        <v>3</v>
      </c>
      <c r="N37" s="4" t="s">
        <v>3</v>
      </c>
      <c r="O37" s="4">
        <v>-1</v>
      </c>
      <c r="P37" s="4"/>
    </row>
    <row r="38" spans="1:16" ht="12.75">
      <c r="A38" s="4">
        <v>50</v>
      </c>
      <c r="B38" s="4">
        <v>0</v>
      </c>
      <c r="C38" s="4">
        <v>0</v>
      </c>
      <c r="D38" s="4">
        <v>1</v>
      </c>
      <c r="E38" s="4">
        <v>209</v>
      </c>
      <c r="F38" s="4">
        <v>0</v>
      </c>
      <c r="G38" s="4" t="s">
        <v>165</v>
      </c>
      <c r="H38" s="4" t="s">
        <v>166</v>
      </c>
      <c r="I38" s="4"/>
      <c r="J38" s="4"/>
      <c r="K38" s="4">
        <v>209</v>
      </c>
      <c r="L38" s="4">
        <v>21</v>
      </c>
      <c r="M38" s="4">
        <v>3</v>
      </c>
      <c r="N38" s="4" t="s">
        <v>3</v>
      </c>
      <c r="O38" s="4">
        <v>0</v>
      </c>
      <c r="P38" s="4"/>
    </row>
    <row r="39" spans="1:16" ht="12.75">
      <c r="A39" s="4">
        <v>50</v>
      </c>
      <c r="B39" s="4">
        <v>1</v>
      </c>
      <c r="C39" s="4">
        <v>0</v>
      </c>
      <c r="D39" s="4">
        <v>1</v>
      </c>
      <c r="E39" s="4">
        <v>210</v>
      </c>
      <c r="F39" s="4">
        <v>342301</v>
      </c>
      <c r="G39" s="4" t="s">
        <v>167</v>
      </c>
      <c r="H39" s="4" t="s">
        <v>168</v>
      </c>
      <c r="I39" s="4"/>
      <c r="J39" s="4"/>
      <c r="K39" s="4">
        <v>210</v>
      </c>
      <c r="L39" s="4">
        <v>22</v>
      </c>
      <c r="M39" s="4">
        <v>0</v>
      </c>
      <c r="N39" s="4" t="s">
        <v>3</v>
      </c>
      <c r="O39" s="4">
        <v>0</v>
      </c>
      <c r="P39" s="4"/>
    </row>
    <row r="40" spans="1:16" ht="12.75">
      <c r="A40" s="4">
        <v>50</v>
      </c>
      <c r="B40" s="4">
        <v>1</v>
      </c>
      <c r="C40" s="4">
        <v>0</v>
      </c>
      <c r="D40" s="4">
        <v>1</v>
      </c>
      <c r="E40" s="4">
        <v>211</v>
      </c>
      <c r="F40" s="4">
        <v>232892</v>
      </c>
      <c r="G40" s="4" t="s">
        <v>169</v>
      </c>
      <c r="H40" s="4" t="s">
        <v>170</v>
      </c>
      <c r="I40" s="4"/>
      <c r="J40" s="4"/>
      <c r="K40" s="4">
        <v>211</v>
      </c>
      <c r="L40" s="4">
        <v>23</v>
      </c>
      <c r="M40" s="4">
        <v>0</v>
      </c>
      <c r="N40" s="4" t="s">
        <v>3</v>
      </c>
      <c r="O40" s="4">
        <v>0</v>
      </c>
      <c r="P40" s="4"/>
    </row>
    <row r="41" spans="1:16" ht="12.75">
      <c r="A41" s="4">
        <v>50</v>
      </c>
      <c r="B41" s="4">
        <v>0</v>
      </c>
      <c r="C41" s="4">
        <v>0</v>
      </c>
      <c r="D41" s="4">
        <v>1</v>
      </c>
      <c r="E41" s="4">
        <v>224</v>
      </c>
      <c r="F41" s="4">
        <v>2031649</v>
      </c>
      <c r="G41" s="4" t="s">
        <v>171</v>
      </c>
      <c r="H41" s="4" t="s">
        <v>172</v>
      </c>
      <c r="I41" s="4"/>
      <c r="J41" s="4"/>
      <c r="K41" s="4">
        <v>224</v>
      </c>
      <c r="L41" s="4">
        <v>24</v>
      </c>
      <c r="M41" s="4">
        <v>3</v>
      </c>
      <c r="N41" s="4" t="s">
        <v>3</v>
      </c>
      <c r="O41" s="4">
        <v>0</v>
      </c>
      <c r="P41" s="4"/>
    </row>
    <row r="42" spans="1:16" ht="12.75">
      <c r="A42" s="4">
        <v>50</v>
      </c>
      <c r="B42" s="4">
        <v>1</v>
      </c>
      <c r="C42" s="4">
        <v>0</v>
      </c>
      <c r="D42" s="4">
        <v>1</v>
      </c>
      <c r="E42" s="4">
        <v>202</v>
      </c>
      <c r="F42" s="4">
        <v>905631</v>
      </c>
      <c r="G42" s="4" t="s">
        <v>129</v>
      </c>
      <c r="H42" s="4" t="s">
        <v>130</v>
      </c>
      <c r="I42" s="4"/>
      <c r="J42" s="4"/>
      <c r="K42" s="4">
        <v>202</v>
      </c>
      <c r="L42" s="4">
        <v>25</v>
      </c>
      <c r="M42" s="4">
        <v>0</v>
      </c>
      <c r="N42" s="4" t="s">
        <v>3</v>
      </c>
      <c r="O42" s="4">
        <v>0</v>
      </c>
      <c r="P42" s="4"/>
    </row>
    <row r="43" spans="1:16" ht="12.75">
      <c r="A43" s="4">
        <v>50</v>
      </c>
      <c r="B43" s="4">
        <v>1</v>
      </c>
      <c r="C43" s="4">
        <v>0</v>
      </c>
      <c r="D43" s="4">
        <v>2</v>
      </c>
      <c r="E43" s="4">
        <v>0</v>
      </c>
      <c r="F43" s="4">
        <v>1126018</v>
      </c>
      <c r="G43" s="4" t="s">
        <v>173</v>
      </c>
      <c r="H43" s="4" t="s">
        <v>174</v>
      </c>
      <c r="I43" s="4"/>
      <c r="J43" s="4"/>
      <c r="K43" s="4">
        <v>212</v>
      </c>
      <c r="L43" s="4">
        <v>26</v>
      </c>
      <c r="M43" s="4">
        <v>0</v>
      </c>
      <c r="N43" s="4" t="s">
        <v>3</v>
      </c>
      <c r="O43" s="4">
        <v>0</v>
      </c>
      <c r="P43" s="4"/>
    </row>
    <row r="44" spans="1:16" ht="12.75">
      <c r="A44" s="4">
        <v>50</v>
      </c>
      <c r="B44" s="4">
        <v>1</v>
      </c>
      <c r="C44" s="4">
        <v>0</v>
      </c>
      <c r="D44" s="4">
        <v>2</v>
      </c>
      <c r="E44" s="4">
        <v>0</v>
      </c>
      <c r="F44" s="4">
        <v>63394</v>
      </c>
      <c r="G44" s="4" t="s">
        <v>175</v>
      </c>
      <c r="H44" s="4" t="s">
        <v>176</v>
      </c>
      <c r="I44" s="4"/>
      <c r="J44" s="4"/>
      <c r="K44" s="4">
        <v>212</v>
      </c>
      <c r="L44" s="4">
        <v>27</v>
      </c>
      <c r="M44" s="4">
        <v>0</v>
      </c>
      <c r="N44" s="4" t="s">
        <v>3</v>
      </c>
      <c r="O44" s="4">
        <v>0</v>
      </c>
      <c r="P44" s="4"/>
    </row>
    <row r="45" spans="1:16" ht="12.75">
      <c r="A45" s="4">
        <v>50</v>
      </c>
      <c r="B45" s="4">
        <v>1</v>
      </c>
      <c r="C45" s="4">
        <v>0</v>
      </c>
      <c r="D45" s="4">
        <v>2</v>
      </c>
      <c r="E45" s="4">
        <v>0</v>
      </c>
      <c r="F45" s="4">
        <v>2095043</v>
      </c>
      <c r="G45" s="4" t="s">
        <v>177</v>
      </c>
      <c r="H45" s="4" t="s">
        <v>178</v>
      </c>
      <c r="I45" s="4"/>
      <c r="J45" s="4"/>
      <c r="K45" s="4">
        <v>212</v>
      </c>
      <c r="L45" s="4">
        <v>28</v>
      </c>
      <c r="M45" s="4">
        <v>0</v>
      </c>
      <c r="N45" s="4" t="s">
        <v>3</v>
      </c>
      <c r="O45" s="4">
        <v>0</v>
      </c>
      <c r="P45" s="4"/>
    </row>
    <row r="46" spans="1:16" ht="12.75">
      <c r="A46" s="4">
        <v>50</v>
      </c>
      <c r="B46" s="4">
        <v>1</v>
      </c>
      <c r="C46" s="4">
        <v>0</v>
      </c>
      <c r="D46" s="4">
        <v>2</v>
      </c>
      <c r="E46" s="4">
        <v>0</v>
      </c>
      <c r="F46" s="4">
        <v>377108</v>
      </c>
      <c r="G46" s="4" t="s">
        <v>179</v>
      </c>
      <c r="H46" s="4" t="s">
        <v>180</v>
      </c>
      <c r="I46" s="4"/>
      <c r="J46" s="4"/>
      <c r="K46" s="4">
        <v>212</v>
      </c>
      <c r="L46" s="4">
        <v>29</v>
      </c>
      <c r="M46" s="4">
        <v>0</v>
      </c>
      <c r="N46" s="4" t="s">
        <v>3</v>
      </c>
      <c r="O46" s="4">
        <v>0</v>
      </c>
      <c r="P46" s="4"/>
    </row>
    <row r="47" spans="1:16" ht="12.75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2472151</v>
      </c>
      <c r="G47" s="4" t="s">
        <v>181</v>
      </c>
      <c r="H47" s="4" t="s">
        <v>182</v>
      </c>
      <c r="I47" s="4"/>
      <c r="J47" s="4"/>
      <c r="K47" s="4">
        <v>212</v>
      </c>
      <c r="L47" s="4">
        <v>30</v>
      </c>
      <c r="M47" s="4">
        <v>0</v>
      </c>
      <c r="N47" s="4" t="s">
        <v>3</v>
      </c>
      <c r="O47" s="4">
        <v>0</v>
      </c>
      <c r="P47" s="4"/>
    </row>
    <row r="49" ht="12.75">
      <c r="A49">
        <v>-1</v>
      </c>
    </row>
    <row r="52" spans="1:15" ht="12.75">
      <c r="A52" s="3">
        <v>75</v>
      </c>
      <c r="B52" s="3" t="s">
        <v>228</v>
      </c>
      <c r="C52" s="3">
        <v>2000</v>
      </c>
      <c r="D52" s="3">
        <v>0</v>
      </c>
      <c r="E52" s="3">
        <v>1</v>
      </c>
      <c r="F52" s="3">
        <v>0</v>
      </c>
      <c r="G52" s="3">
        <v>0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26917020</v>
      </c>
      <c r="O52" s="3">
        <v>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B7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6" ht="12.75">
      <c r="A1">
        <f>ROW(Source!A24)</f>
        <v>24</v>
      </c>
      <c r="B1">
        <v>26917020</v>
      </c>
      <c r="C1">
        <v>26918660</v>
      </c>
      <c r="D1">
        <v>9415385</v>
      </c>
      <c r="E1">
        <v>1</v>
      </c>
      <c r="F1">
        <v>1</v>
      </c>
      <c r="G1">
        <v>1</v>
      </c>
      <c r="H1">
        <v>1</v>
      </c>
      <c r="I1" t="s">
        <v>230</v>
      </c>
      <c r="K1" t="s">
        <v>231</v>
      </c>
      <c r="L1">
        <v>1369</v>
      </c>
      <c r="N1">
        <v>1013</v>
      </c>
      <c r="O1" t="s">
        <v>232</v>
      </c>
      <c r="P1" t="s">
        <v>232</v>
      </c>
      <c r="Q1">
        <v>1</v>
      </c>
      <c r="W1">
        <v>0</v>
      </c>
      <c r="X1">
        <v>1951387513</v>
      </c>
      <c r="Y1">
        <v>152.89</v>
      </c>
      <c r="AA1">
        <v>0</v>
      </c>
      <c r="AB1">
        <v>0</v>
      </c>
      <c r="AC1">
        <v>0</v>
      </c>
      <c r="AD1">
        <v>138.75</v>
      </c>
      <c r="AE1">
        <v>0</v>
      </c>
      <c r="AF1">
        <v>0</v>
      </c>
      <c r="AG1">
        <v>0</v>
      </c>
      <c r="AH1">
        <v>138.75</v>
      </c>
      <c r="AI1">
        <v>1</v>
      </c>
      <c r="AJ1">
        <v>1</v>
      </c>
      <c r="AK1">
        <v>1</v>
      </c>
      <c r="AL1">
        <v>1</v>
      </c>
      <c r="AN1">
        <v>0</v>
      </c>
      <c r="AO1">
        <v>0</v>
      </c>
      <c r="AP1">
        <v>1</v>
      </c>
      <c r="AQ1">
        <v>1</v>
      </c>
      <c r="AR1">
        <v>0</v>
      </c>
      <c r="AT1">
        <v>152.89</v>
      </c>
      <c r="AV1">
        <v>1</v>
      </c>
      <c r="AW1">
        <v>2</v>
      </c>
      <c r="AX1">
        <v>26918665</v>
      </c>
      <c r="AY1">
        <v>2</v>
      </c>
      <c r="AZ1">
        <v>131072</v>
      </c>
      <c r="BA1">
        <v>1</v>
      </c>
      <c r="BB1">
        <v>1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21213.4875</v>
      </c>
      <c r="BN1">
        <v>152.89</v>
      </c>
      <c r="BO1">
        <v>0</v>
      </c>
      <c r="BP1">
        <v>1</v>
      </c>
      <c r="BQ1">
        <v>0</v>
      </c>
      <c r="BR1">
        <v>0</v>
      </c>
      <c r="BS1">
        <v>0</v>
      </c>
      <c r="BT1">
        <v>21213.4875</v>
      </c>
      <c r="BU1">
        <v>152.89</v>
      </c>
      <c r="BV1">
        <v>0</v>
      </c>
      <c r="BW1">
        <v>1</v>
      </c>
      <c r="CX1">
        <f>Y1*Source!I24</f>
        <v>263.93400699999995</v>
      </c>
      <c r="CY1">
        <f>AD1</f>
        <v>138.75</v>
      </c>
      <c r="CZ1">
        <f>AH1</f>
        <v>138.75</v>
      </c>
      <c r="DA1">
        <f>AL1</f>
        <v>1</v>
      </c>
      <c r="DB1">
        <v>0</v>
      </c>
    </row>
    <row r="2" spans="1:106" ht="12.75">
      <c r="A2">
        <f>ROW(Source!A24)</f>
        <v>24</v>
      </c>
      <c r="B2">
        <v>26917020</v>
      </c>
      <c r="C2">
        <v>26918660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23</v>
      </c>
      <c r="K2" t="s">
        <v>233</v>
      </c>
      <c r="L2">
        <v>608254</v>
      </c>
      <c r="N2">
        <v>1013</v>
      </c>
      <c r="O2" t="s">
        <v>234</v>
      </c>
      <c r="P2" t="s">
        <v>234</v>
      </c>
      <c r="Q2">
        <v>1</v>
      </c>
      <c r="W2">
        <v>0</v>
      </c>
      <c r="X2">
        <v>-185737400</v>
      </c>
      <c r="Y2">
        <v>1.91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0</v>
      </c>
      <c r="AP2">
        <v>1</v>
      </c>
      <c r="AQ2">
        <v>1</v>
      </c>
      <c r="AR2">
        <v>0</v>
      </c>
      <c r="AT2">
        <v>1.91</v>
      </c>
      <c r="AV2">
        <v>2</v>
      </c>
      <c r="AW2">
        <v>2</v>
      </c>
      <c r="AX2">
        <v>26918666</v>
      </c>
      <c r="AY2">
        <v>1</v>
      </c>
      <c r="AZ2">
        <v>0</v>
      </c>
      <c r="BA2">
        <v>2</v>
      </c>
      <c r="BB2">
        <v>1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1.91</v>
      </c>
      <c r="BP2">
        <v>1</v>
      </c>
      <c r="BQ2">
        <v>0</v>
      </c>
      <c r="BR2">
        <v>0</v>
      </c>
      <c r="BS2">
        <v>0</v>
      </c>
      <c r="BT2">
        <v>0</v>
      </c>
      <c r="BU2">
        <v>0</v>
      </c>
      <c r="BV2">
        <v>1.91</v>
      </c>
      <c r="BW2">
        <v>1</v>
      </c>
      <c r="CX2">
        <f>Y2*Source!I24</f>
        <v>3.297233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ht="12.75">
      <c r="A3">
        <f>ROW(Source!A24)</f>
        <v>24</v>
      </c>
      <c r="B3">
        <v>26917020</v>
      </c>
      <c r="C3">
        <v>26918660</v>
      </c>
      <c r="D3">
        <v>24267967</v>
      </c>
      <c r="E3">
        <v>1</v>
      </c>
      <c r="F3">
        <v>1</v>
      </c>
      <c r="G3">
        <v>1</v>
      </c>
      <c r="H3">
        <v>2</v>
      </c>
      <c r="I3" t="s">
        <v>235</v>
      </c>
      <c r="J3" t="s">
        <v>236</v>
      </c>
      <c r="K3" t="s">
        <v>237</v>
      </c>
      <c r="L3">
        <v>1368</v>
      </c>
      <c r="N3">
        <v>1011</v>
      </c>
      <c r="O3" t="s">
        <v>238</v>
      </c>
      <c r="P3" t="s">
        <v>238</v>
      </c>
      <c r="Q3">
        <v>1</v>
      </c>
      <c r="W3">
        <v>0</v>
      </c>
      <c r="X3">
        <v>-707733827</v>
      </c>
      <c r="Y3">
        <v>1.91</v>
      </c>
      <c r="AA3">
        <v>0</v>
      </c>
      <c r="AB3">
        <v>539.43</v>
      </c>
      <c r="AC3">
        <v>0</v>
      </c>
      <c r="AD3">
        <v>0</v>
      </c>
      <c r="AE3">
        <v>0</v>
      </c>
      <c r="AF3">
        <v>539.43</v>
      </c>
      <c r="AG3">
        <v>0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0</v>
      </c>
      <c r="AP3">
        <v>1</v>
      </c>
      <c r="AQ3">
        <v>1</v>
      </c>
      <c r="AR3">
        <v>0</v>
      </c>
      <c r="AT3">
        <v>1.91</v>
      </c>
      <c r="AV3">
        <v>0</v>
      </c>
      <c r="AW3">
        <v>2</v>
      </c>
      <c r="AX3">
        <v>26918667</v>
      </c>
      <c r="AY3">
        <v>2</v>
      </c>
      <c r="AZ3">
        <v>98304</v>
      </c>
      <c r="BA3">
        <v>3</v>
      </c>
      <c r="BB3">
        <v>1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1030.3112999999998</v>
      </c>
      <c r="BL3">
        <v>0</v>
      </c>
      <c r="BM3">
        <v>0</v>
      </c>
      <c r="BN3">
        <v>0</v>
      </c>
      <c r="BO3">
        <v>0</v>
      </c>
      <c r="BP3">
        <v>1</v>
      </c>
      <c r="BQ3">
        <v>0</v>
      </c>
      <c r="BR3">
        <v>1030.3112999999998</v>
      </c>
      <c r="BS3">
        <v>0</v>
      </c>
      <c r="BT3">
        <v>0</v>
      </c>
      <c r="BU3">
        <v>0</v>
      </c>
      <c r="BV3">
        <v>0</v>
      </c>
      <c r="BW3">
        <v>1</v>
      </c>
      <c r="CX3">
        <f>Y3*Source!I24</f>
        <v>3.297233</v>
      </c>
      <c r="CY3">
        <f>AB3</f>
        <v>539.43</v>
      </c>
      <c r="CZ3">
        <f>AF3</f>
        <v>539.43</v>
      </c>
      <c r="DA3">
        <f>AJ3</f>
        <v>1</v>
      </c>
      <c r="DB3">
        <v>0</v>
      </c>
    </row>
    <row r="4" spans="1:106" ht="12.75">
      <c r="A4">
        <f>ROW(Source!A24)</f>
        <v>24</v>
      </c>
      <c r="B4">
        <v>26917020</v>
      </c>
      <c r="C4">
        <v>26918660</v>
      </c>
      <c r="D4">
        <v>24268931</v>
      </c>
      <c r="E4">
        <v>1</v>
      </c>
      <c r="F4">
        <v>1</v>
      </c>
      <c r="G4">
        <v>1</v>
      </c>
      <c r="H4">
        <v>2</v>
      </c>
      <c r="I4" t="s">
        <v>239</v>
      </c>
      <c r="J4" t="s">
        <v>240</v>
      </c>
      <c r="K4" t="s">
        <v>241</v>
      </c>
      <c r="L4">
        <v>1368</v>
      </c>
      <c r="N4">
        <v>1011</v>
      </c>
      <c r="O4" t="s">
        <v>238</v>
      </c>
      <c r="P4" t="s">
        <v>238</v>
      </c>
      <c r="Q4">
        <v>1</v>
      </c>
      <c r="W4">
        <v>0</v>
      </c>
      <c r="X4">
        <v>146692532</v>
      </c>
      <c r="Y4">
        <v>3.82</v>
      </c>
      <c r="AA4">
        <v>0</v>
      </c>
      <c r="AB4">
        <v>5.44</v>
      </c>
      <c r="AC4">
        <v>0</v>
      </c>
      <c r="AD4">
        <v>0</v>
      </c>
      <c r="AE4">
        <v>0</v>
      </c>
      <c r="AF4">
        <v>5.44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0</v>
      </c>
      <c r="AP4">
        <v>1</v>
      </c>
      <c r="AQ4">
        <v>1</v>
      </c>
      <c r="AR4">
        <v>0</v>
      </c>
      <c r="AT4">
        <v>3.82</v>
      </c>
      <c r="AV4">
        <v>0</v>
      </c>
      <c r="AW4">
        <v>2</v>
      </c>
      <c r="AX4">
        <v>26918668</v>
      </c>
      <c r="AY4">
        <v>2</v>
      </c>
      <c r="AZ4">
        <v>32768</v>
      </c>
      <c r="BA4">
        <v>4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20.7808</v>
      </c>
      <c r="BL4">
        <v>0</v>
      </c>
      <c r="BM4">
        <v>0</v>
      </c>
      <c r="BN4">
        <v>0</v>
      </c>
      <c r="BO4">
        <v>0</v>
      </c>
      <c r="BP4">
        <v>1</v>
      </c>
      <c r="BQ4">
        <v>0</v>
      </c>
      <c r="BR4">
        <v>20.7808</v>
      </c>
      <c r="BS4">
        <v>0</v>
      </c>
      <c r="BT4">
        <v>0</v>
      </c>
      <c r="BU4">
        <v>0</v>
      </c>
      <c r="BV4">
        <v>0</v>
      </c>
      <c r="BW4">
        <v>1</v>
      </c>
      <c r="CX4">
        <f>Y4*Source!I24</f>
        <v>6.594466</v>
      </c>
      <c r="CY4">
        <f>AB4</f>
        <v>5.44</v>
      </c>
      <c r="CZ4">
        <f>AF4</f>
        <v>5.44</v>
      </c>
      <c r="DA4">
        <f>AJ4</f>
        <v>1</v>
      </c>
      <c r="DB4">
        <v>0</v>
      </c>
    </row>
    <row r="5" spans="1:106" ht="12.75">
      <c r="A5">
        <f>ROW(Source!A25)</f>
        <v>25</v>
      </c>
      <c r="B5">
        <v>26917020</v>
      </c>
      <c r="C5">
        <v>27154995</v>
      </c>
      <c r="D5">
        <v>9415493</v>
      </c>
      <c r="E5">
        <v>1</v>
      </c>
      <c r="F5">
        <v>1</v>
      </c>
      <c r="G5">
        <v>1</v>
      </c>
      <c r="H5">
        <v>1</v>
      </c>
      <c r="I5" t="s">
        <v>242</v>
      </c>
      <c r="K5" t="s">
        <v>243</v>
      </c>
      <c r="L5">
        <v>1369</v>
      </c>
      <c r="N5">
        <v>1013</v>
      </c>
      <c r="O5" t="s">
        <v>232</v>
      </c>
      <c r="P5" t="s">
        <v>232</v>
      </c>
      <c r="Q5">
        <v>1</v>
      </c>
      <c r="W5">
        <v>0</v>
      </c>
      <c r="X5">
        <v>1774247228</v>
      </c>
      <c r="Y5">
        <v>111.2</v>
      </c>
      <c r="AA5">
        <v>0</v>
      </c>
      <c r="AB5">
        <v>0</v>
      </c>
      <c r="AC5">
        <v>0</v>
      </c>
      <c r="AD5">
        <v>125.72</v>
      </c>
      <c r="AE5">
        <v>0</v>
      </c>
      <c r="AF5">
        <v>0</v>
      </c>
      <c r="AG5">
        <v>0</v>
      </c>
      <c r="AH5">
        <v>125.72</v>
      </c>
      <c r="AI5">
        <v>1</v>
      </c>
      <c r="AJ5">
        <v>1</v>
      </c>
      <c r="AK5">
        <v>1</v>
      </c>
      <c r="AL5">
        <v>1</v>
      </c>
      <c r="AN5">
        <v>0</v>
      </c>
      <c r="AO5">
        <v>0</v>
      </c>
      <c r="AP5">
        <v>1</v>
      </c>
      <c r="AQ5">
        <v>1</v>
      </c>
      <c r="AR5">
        <v>0</v>
      </c>
      <c r="AT5">
        <v>111.2</v>
      </c>
      <c r="AV5">
        <v>1</v>
      </c>
      <c r="AW5">
        <v>2</v>
      </c>
      <c r="AX5">
        <v>27155002</v>
      </c>
      <c r="AY5">
        <v>2</v>
      </c>
      <c r="AZ5">
        <v>131072</v>
      </c>
      <c r="BA5">
        <v>5</v>
      </c>
      <c r="BB5">
        <v>1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13980.064</v>
      </c>
      <c r="BN5">
        <v>111.2</v>
      </c>
      <c r="BO5">
        <v>0</v>
      </c>
      <c r="BP5">
        <v>1</v>
      </c>
      <c r="BQ5">
        <v>0</v>
      </c>
      <c r="BR5">
        <v>0</v>
      </c>
      <c r="BS5">
        <v>0</v>
      </c>
      <c r="BT5">
        <v>13980.064</v>
      </c>
      <c r="BU5">
        <v>111.2</v>
      </c>
      <c r="BV5">
        <v>0</v>
      </c>
      <c r="BW5">
        <v>1</v>
      </c>
      <c r="CX5">
        <f>Y5*Source!I25</f>
        <v>181.1448</v>
      </c>
      <c r="CY5">
        <f>AD5</f>
        <v>125.72</v>
      </c>
      <c r="CZ5">
        <f>AH5</f>
        <v>125.72</v>
      </c>
      <c r="DA5">
        <f>AL5</f>
        <v>1</v>
      </c>
      <c r="DB5">
        <v>0</v>
      </c>
    </row>
    <row r="6" spans="1:106" ht="12.75">
      <c r="A6">
        <f>ROW(Source!A25)</f>
        <v>25</v>
      </c>
      <c r="B6">
        <v>26917020</v>
      </c>
      <c r="C6">
        <v>27154995</v>
      </c>
      <c r="D6">
        <v>121548</v>
      </c>
      <c r="E6">
        <v>1</v>
      </c>
      <c r="F6">
        <v>1</v>
      </c>
      <c r="G6">
        <v>1</v>
      </c>
      <c r="H6">
        <v>1</v>
      </c>
      <c r="I6" t="s">
        <v>23</v>
      </c>
      <c r="K6" t="s">
        <v>233</v>
      </c>
      <c r="L6">
        <v>608254</v>
      </c>
      <c r="N6">
        <v>1013</v>
      </c>
      <c r="O6" t="s">
        <v>234</v>
      </c>
      <c r="P6" t="s">
        <v>234</v>
      </c>
      <c r="Q6">
        <v>1</v>
      </c>
      <c r="W6">
        <v>0</v>
      </c>
      <c r="X6">
        <v>-185737400</v>
      </c>
      <c r="Y6">
        <v>21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0</v>
      </c>
      <c r="AP6">
        <v>0</v>
      </c>
      <c r="AQ6">
        <v>1</v>
      </c>
      <c r="AR6">
        <v>0</v>
      </c>
      <c r="AT6">
        <v>21</v>
      </c>
      <c r="AV6">
        <v>2</v>
      </c>
      <c r="AW6">
        <v>2</v>
      </c>
      <c r="AX6">
        <v>27155003</v>
      </c>
      <c r="AY6">
        <v>1</v>
      </c>
      <c r="AZ6">
        <v>0</v>
      </c>
      <c r="BA6">
        <v>6</v>
      </c>
      <c r="BB6">
        <v>1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21</v>
      </c>
      <c r="BP6">
        <v>1</v>
      </c>
      <c r="BQ6">
        <v>0</v>
      </c>
      <c r="BR6">
        <v>0</v>
      </c>
      <c r="BS6">
        <v>0</v>
      </c>
      <c r="BT6">
        <v>0</v>
      </c>
      <c r="BU6">
        <v>0</v>
      </c>
      <c r="BV6">
        <v>21</v>
      </c>
      <c r="BW6">
        <v>1</v>
      </c>
      <c r="CX6">
        <f>Y6*Source!I25</f>
        <v>34.209</v>
      </c>
      <c r="CY6">
        <f>AD6</f>
        <v>0</v>
      </c>
      <c r="CZ6">
        <f>AH6</f>
        <v>0</v>
      </c>
      <c r="DA6">
        <f>AL6</f>
        <v>1</v>
      </c>
      <c r="DB6">
        <v>0</v>
      </c>
    </row>
    <row r="7" spans="1:106" ht="12.75">
      <c r="A7">
        <f>ROW(Source!A25)</f>
        <v>25</v>
      </c>
      <c r="B7">
        <v>26917020</v>
      </c>
      <c r="C7">
        <v>27154995</v>
      </c>
      <c r="D7">
        <v>24312004</v>
      </c>
      <c r="E7">
        <v>1</v>
      </c>
      <c r="F7">
        <v>1</v>
      </c>
      <c r="G7">
        <v>1</v>
      </c>
      <c r="H7">
        <v>2</v>
      </c>
      <c r="I7" t="s">
        <v>244</v>
      </c>
      <c r="J7" t="s">
        <v>245</v>
      </c>
      <c r="K7" t="s">
        <v>246</v>
      </c>
      <c r="L7">
        <v>1368</v>
      </c>
      <c r="N7">
        <v>1011</v>
      </c>
      <c r="O7" t="s">
        <v>238</v>
      </c>
      <c r="P7" t="s">
        <v>238</v>
      </c>
      <c r="Q7">
        <v>1</v>
      </c>
      <c r="W7">
        <v>0</v>
      </c>
      <c r="X7">
        <v>1499254570</v>
      </c>
      <c r="Y7">
        <v>1.8</v>
      </c>
      <c r="AA7">
        <v>0</v>
      </c>
      <c r="AB7">
        <v>258.94</v>
      </c>
      <c r="AC7">
        <v>0</v>
      </c>
      <c r="AD7">
        <v>0</v>
      </c>
      <c r="AE7">
        <v>0</v>
      </c>
      <c r="AF7">
        <v>258.94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0</v>
      </c>
      <c r="AP7">
        <v>1</v>
      </c>
      <c r="AQ7">
        <v>1</v>
      </c>
      <c r="AR7">
        <v>0</v>
      </c>
      <c r="AT7">
        <v>1.8</v>
      </c>
      <c r="AV7">
        <v>0</v>
      </c>
      <c r="AW7">
        <v>2</v>
      </c>
      <c r="AX7">
        <v>27155004</v>
      </c>
      <c r="AY7">
        <v>2</v>
      </c>
      <c r="AZ7">
        <v>98304</v>
      </c>
      <c r="BA7">
        <v>7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466.092</v>
      </c>
      <c r="BL7">
        <v>0</v>
      </c>
      <c r="BM7">
        <v>0</v>
      </c>
      <c r="BN7">
        <v>0</v>
      </c>
      <c r="BO7">
        <v>0</v>
      </c>
      <c r="BP7">
        <v>1</v>
      </c>
      <c r="BQ7">
        <v>0</v>
      </c>
      <c r="BR7">
        <v>466.092</v>
      </c>
      <c r="BS7">
        <v>0</v>
      </c>
      <c r="BT7">
        <v>0</v>
      </c>
      <c r="BU7">
        <v>0</v>
      </c>
      <c r="BV7">
        <v>0</v>
      </c>
      <c r="BW7">
        <v>1</v>
      </c>
      <c r="CX7">
        <f>Y7*Source!I25</f>
        <v>2.9322</v>
      </c>
      <c r="CY7">
        <f>AB7</f>
        <v>258.94</v>
      </c>
      <c r="CZ7">
        <f>AF7</f>
        <v>258.94</v>
      </c>
      <c r="DA7">
        <f>AJ7</f>
        <v>1</v>
      </c>
      <c r="DB7">
        <v>0</v>
      </c>
    </row>
    <row r="8" spans="1:106" ht="12.75">
      <c r="A8">
        <f>ROW(Source!A25)</f>
        <v>25</v>
      </c>
      <c r="B8">
        <v>26917020</v>
      </c>
      <c r="C8">
        <v>27154995</v>
      </c>
      <c r="D8">
        <v>24267967</v>
      </c>
      <c r="E8">
        <v>1</v>
      </c>
      <c r="F8">
        <v>1</v>
      </c>
      <c r="G8">
        <v>1</v>
      </c>
      <c r="H8">
        <v>2</v>
      </c>
      <c r="I8" t="s">
        <v>235</v>
      </c>
      <c r="J8" t="s">
        <v>236</v>
      </c>
      <c r="K8" t="s">
        <v>237</v>
      </c>
      <c r="L8">
        <v>1368</v>
      </c>
      <c r="N8">
        <v>1011</v>
      </c>
      <c r="O8" t="s">
        <v>238</v>
      </c>
      <c r="P8" t="s">
        <v>238</v>
      </c>
      <c r="Q8">
        <v>1</v>
      </c>
      <c r="W8">
        <v>0</v>
      </c>
      <c r="X8">
        <v>-707733827</v>
      </c>
      <c r="Y8">
        <v>19.2</v>
      </c>
      <c r="AA8">
        <v>0</v>
      </c>
      <c r="AB8">
        <v>539.43</v>
      </c>
      <c r="AC8">
        <v>0</v>
      </c>
      <c r="AD8">
        <v>0</v>
      </c>
      <c r="AE8">
        <v>0</v>
      </c>
      <c r="AF8">
        <v>539.43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0</v>
      </c>
      <c r="AP8">
        <v>1</v>
      </c>
      <c r="AQ8">
        <v>1</v>
      </c>
      <c r="AR8">
        <v>0</v>
      </c>
      <c r="AT8">
        <v>19.2</v>
      </c>
      <c r="AV8">
        <v>0</v>
      </c>
      <c r="AW8">
        <v>2</v>
      </c>
      <c r="AX8">
        <v>27155005</v>
      </c>
      <c r="AY8">
        <v>2</v>
      </c>
      <c r="AZ8">
        <v>98304</v>
      </c>
      <c r="BA8">
        <v>8</v>
      </c>
      <c r="BB8">
        <v>1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10357.055999999999</v>
      </c>
      <c r="BL8">
        <v>0</v>
      </c>
      <c r="BM8">
        <v>0</v>
      </c>
      <c r="BN8">
        <v>0</v>
      </c>
      <c r="BO8">
        <v>0</v>
      </c>
      <c r="BP8">
        <v>1</v>
      </c>
      <c r="BQ8">
        <v>0</v>
      </c>
      <c r="BR8">
        <v>10357.055999999999</v>
      </c>
      <c r="BS8">
        <v>0</v>
      </c>
      <c r="BT8">
        <v>0</v>
      </c>
      <c r="BU8">
        <v>0</v>
      </c>
      <c r="BV8">
        <v>0</v>
      </c>
      <c r="BW8">
        <v>1</v>
      </c>
      <c r="CX8">
        <f>Y8*Source!I25</f>
        <v>31.276799999999998</v>
      </c>
      <c r="CY8">
        <f>AB8</f>
        <v>539.43</v>
      </c>
      <c r="CZ8">
        <f>AF8</f>
        <v>539.43</v>
      </c>
      <c r="DA8">
        <f>AJ8</f>
        <v>1</v>
      </c>
      <c r="DB8">
        <v>0</v>
      </c>
    </row>
    <row r="9" spans="1:106" ht="12.75">
      <c r="A9">
        <f>ROW(Source!A25)</f>
        <v>25</v>
      </c>
      <c r="B9">
        <v>26917020</v>
      </c>
      <c r="C9">
        <v>27154995</v>
      </c>
      <c r="D9">
        <v>24268931</v>
      </c>
      <c r="E9">
        <v>1</v>
      </c>
      <c r="F9">
        <v>1</v>
      </c>
      <c r="G9">
        <v>1</v>
      </c>
      <c r="H9">
        <v>2</v>
      </c>
      <c r="I9" t="s">
        <v>239</v>
      </c>
      <c r="J9" t="s">
        <v>240</v>
      </c>
      <c r="K9" t="s">
        <v>241</v>
      </c>
      <c r="L9">
        <v>1368</v>
      </c>
      <c r="N9">
        <v>1011</v>
      </c>
      <c r="O9" t="s">
        <v>238</v>
      </c>
      <c r="P9" t="s">
        <v>238</v>
      </c>
      <c r="Q9">
        <v>1</v>
      </c>
      <c r="W9">
        <v>0</v>
      </c>
      <c r="X9">
        <v>146692532</v>
      </c>
      <c r="Y9">
        <v>38.4</v>
      </c>
      <c r="AA9">
        <v>0</v>
      </c>
      <c r="AB9">
        <v>5.44</v>
      </c>
      <c r="AC9">
        <v>0</v>
      </c>
      <c r="AD9">
        <v>0</v>
      </c>
      <c r="AE9">
        <v>0</v>
      </c>
      <c r="AF9">
        <v>5.44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0</v>
      </c>
      <c r="AP9">
        <v>1</v>
      </c>
      <c r="AQ9">
        <v>1</v>
      </c>
      <c r="AR9">
        <v>0</v>
      </c>
      <c r="AT9">
        <v>38.4</v>
      </c>
      <c r="AV9">
        <v>0</v>
      </c>
      <c r="AW9">
        <v>2</v>
      </c>
      <c r="AX9">
        <v>27155006</v>
      </c>
      <c r="AY9">
        <v>2</v>
      </c>
      <c r="AZ9">
        <v>32768</v>
      </c>
      <c r="BA9">
        <v>9</v>
      </c>
      <c r="BB9">
        <v>1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208.89600000000002</v>
      </c>
      <c r="BL9">
        <v>0</v>
      </c>
      <c r="BM9">
        <v>0</v>
      </c>
      <c r="BN9">
        <v>0</v>
      </c>
      <c r="BO9">
        <v>0</v>
      </c>
      <c r="BP9">
        <v>1</v>
      </c>
      <c r="BQ9">
        <v>0</v>
      </c>
      <c r="BR9">
        <v>208.89600000000002</v>
      </c>
      <c r="BS9">
        <v>0</v>
      </c>
      <c r="BT9">
        <v>0</v>
      </c>
      <c r="BU9">
        <v>0</v>
      </c>
      <c r="BV9">
        <v>0</v>
      </c>
      <c r="BW9">
        <v>1</v>
      </c>
      <c r="CX9">
        <f>Y9*Source!I25</f>
        <v>62.553599999999996</v>
      </c>
      <c r="CY9">
        <f>AB9</f>
        <v>5.44</v>
      </c>
      <c r="CZ9">
        <f>AF9</f>
        <v>5.44</v>
      </c>
      <c r="DA9">
        <f>AJ9</f>
        <v>1</v>
      </c>
      <c r="DB9">
        <v>0</v>
      </c>
    </row>
    <row r="10" spans="1:106" ht="12.75">
      <c r="A10">
        <f>ROW(Source!A25)</f>
        <v>25</v>
      </c>
      <c r="B10">
        <v>26917020</v>
      </c>
      <c r="C10">
        <v>27154995</v>
      </c>
      <c r="D10">
        <v>24505491</v>
      </c>
      <c r="E10">
        <v>1</v>
      </c>
      <c r="F10">
        <v>1</v>
      </c>
      <c r="G10">
        <v>1</v>
      </c>
      <c r="H10">
        <v>3</v>
      </c>
      <c r="I10" t="s">
        <v>247</v>
      </c>
      <c r="J10" t="s">
        <v>248</v>
      </c>
      <c r="K10" t="s">
        <v>249</v>
      </c>
      <c r="L10">
        <v>1348</v>
      </c>
      <c r="N10">
        <v>1009</v>
      </c>
      <c r="O10" t="s">
        <v>115</v>
      </c>
      <c r="P10" t="s">
        <v>115</v>
      </c>
      <c r="Q10">
        <v>1000</v>
      </c>
      <c r="W10">
        <v>0</v>
      </c>
      <c r="X10">
        <v>1591765961</v>
      </c>
      <c r="Y10">
        <v>6.6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0</v>
      </c>
      <c r="AP10">
        <v>0</v>
      </c>
      <c r="AQ10">
        <v>1</v>
      </c>
      <c r="AR10">
        <v>0</v>
      </c>
      <c r="AT10">
        <v>6.6</v>
      </c>
      <c r="AV10">
        <v>0</v>
      </c>
      <c r="AW10">
        <v>2</v>
      </c>
      <c r="AX10">
        <v>27155007</v>
      </c>
      <c r="AY10">
        <v>1</v>
      </c>
      <c r="AZ10">
        <v>0</v>
      </c>
      <c r="BA10">
        <v>10</v>
      </c>
      <c r="BB10">
        <v>1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Y10*Source!I25</f>
        <v>10.7514</v>
      </c>
      <c r="CY10">
        <f>AA10</f>
        <v>0</v>
      </c>
      <c r="CZ10">
        <f>AE10</f>
        <v>0</v>
      </c>
      <c r="DA10">
        <f>AI10</f>
        <v>1</v>
      </c>
      <c r="DB10">
        <v>0</v>
      </c>
    </row>
    <row r="11" spans="1:106" ht="12.75">
      <c r="A11">
        <f>ROW(Source!A26)</f>
        <v>26</v>
      </c>
      <c r="B11">
        <v>26917020</v>
      </c>
      <c r="C11">
        <v>26918678</v>
      </c>
      <c r="D11">
        <v>9415493</v>
      </c>
      <c r="E11">
        <v>1</v>
      </c>
      <c r="F11">
        <v>1</v>
      </c>
      <c r="G11">
        <v>1</v>
      </c>
      <c r="H11">
        <v>1</v>
      </c>
      <c r="I11" t="s">
        <v>242</v>
      </c>
      <c r="K11" t="s">
        <v>243</v>
      </c>
      <c r="L11">
        <v>1369</v>
      </c>
      <c r="N11">
        <v>1013</v>
      </c>
      <c r="O11" t="s">
        <v>232</v>
      </c>
      <c r="P11" t="s">
        <v>232</v>
      </c>
      <c r="Q11">
        <v>1</v>
      </c>
      <c r="W11">
        <v>0</v>
      </c>
      <c r="X11">
        <v>1774247228</v>
      </c>
      <c r="Y11">
        <v>4.760999999999999</v>
      </c>
      <c r="AA11">
        <v>0</v>
      </c>
      <c r="AB11">
        <v>0</v>
      </c>
      <c r="AC11">
        <v>0</v>
      </c>
      <c r="AD11">
        <v>125.72</v>
      </c>
      <c r="AE11">
        <v>0</v>
      </c>
      <c r="AF11">
        <v>0</v>
      </c>
      <c r="AG11">
        <v>0</v>
      </c>
      <c r="AH11">
        <v>125.72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0</v>
      </c>
      <c r="AP11">
        <v>1</v>
      </c>
      <c r="AQ11">
        <v>1</v>
      </c>
      <c r="AR11">
        <v>0</v>
      </c>
      <c r="AT11">
        <v>3.45</v>
      </c>
      <c r="AU11" t="s">
        <v>38</v>
      </c>
      <c r="AV11">
        <v>1</v>
      </c>
      <c r="AW11">
        <v>2</v>
      </c>
      <c r="AX11">
        <v>26918681</v>
      </c>
      <c r="AY11">
        <v>2</v>
      </c>
      <c r="AZ11">
        <v>131072</v>
      </c>
      <c r="BA11">
        <v>11</v>
      </c>
      <c r="BB11">
        <v>1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433.73400000000004</v>
      </c>
      <c r="BN11">
        <v>3.45</v>
      </c>
      <c r="BO11">
        <v>0</v>
      </c>
      <c r="BP11">
        <v>1</v>
      </c>
      <c r="BQ11">
        <v>0</v>
      </c>
      <c r="BR11">
        <v>0</v>
      </c>
      <c r="BS11">
        <v>0</v>
      </c>
      <c r="BT11">
        <v>598.5529199999999</v>
      </c>
      <c r="BU11">
        <v>4.760999999999999</v>
      </c>
      <c r="BV11">
        <v>0</v>
      </c>
      <c r="BW11">
        <v>1</v>
      </c>
      <c r="CX11">
        <f>Y11*Source!I26</f>
        <v>7.755668999999998</v>
      </c>
      <c r="CY11">
        <f>AD11</f>
        <v>125.72</v>
      </c>
      <c r="CZ11">
        <f>AH11</f>
        <v>125.72</v>
      </c>
      <c r="DA11">
        <f>AL11</f>
        <v>1</v>
      </c>
      <c r="DB11">
        <v>0</v>
      </c>
    </row>
    <row r="12" spans="1:106" ht="12.75">
      <c r="A12">
        <f>ROW(Source!A26)</f>
        <v>26</v>
      </c>
      <c r="B12">
        <v>26917020</v>
      </c>
      <c r="C12">
        <v>26918678</v>
      </c>
      <c r="D12">
        <v>21323648</v>
      </c>
      <c r="E12">
        <v>1</v>
      </c>
      <c r="F12">
        <v>1</v>
      </c>
      <c r="G12">
        <v>1</v>
      </c>
      <c r="H12">
        <v>3</v>
      </c>
      <c r="I12" t="s">
        <v>250</v>
      </c>
      <c r="J12" t="s">
        <v>251</v>
      </c>
      <c r="K12" t="s">
        <v>252</v>
      </c>
      <c r="L12">
        <v>1327</v>
      </c>
      <c r="N12">
        <v>1005</v>
      </c>
      <c r="O12" t="s">
        <v>253</v>
      </c>
      <c r="P12" t="s">
        <v>253</v>
      </c>
      <c r="Q12">
        <v>1</v>
      </c>
      <c r="W12">
        <v>0</v>
      </c>
      <c r="X12">
        <v>261222830</v>
      </c>
      <c r="Y12">
        <v>122.4</v>
      </c>
      <c r="AA12">
        <v>63.71</v>
      </c>
      <c r="AB12">
        <v>0</v>
      </c>
      <c r="AC12">
        <v>0</v>
      </c>
      <c r="AD12">
        <v>0</v>
      </c>
      <c r="AE12">
        <v>63.71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0</v>
      </c>
      <c r="AP12">
        <v>1</v>
      </c>
      <c r="AQ12">
        <v>1</v>
      </c>
      <c r="AR12">
        <v>0</v>
      </c>
      <c r="AT12">
        <v>122.4</v>
      </c>
      <c r="AV12">
        <v>0</v>
      </c>
      <c r="AW12">
        <v>2</v>
      </c>
      <c r="AX12">
        <v>26918683</v>
      </c>
      <c r="AY12">
        <v>2</v>
      </c>
      <c r="AZ12">
        <v>16384</v>
      </c>
      <c r="BA12">
        <v>13</v>
      </c>
      <c r="BB12">
        <v>1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7798.104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1</v>
      </c>
      <c r="BQ12">
        <v>7798.104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1</v>
      </c>
      <c r="CX12">
        <f>Y12*Source!I26</f>
        <v>199.3896</v>
      </c>
      <c r="CY12">
        <f>AA12</f>
        <v>63.71</v>
      </c>
      <c r="CZ12">
        <f>AE12</f>
        <v>63.71</v>
      </c>
      <c r="DA12">
        <f>AI12</f>
        <v>1</v>
      </c>
      <c r="DB12">
        <v>0</v>
      </c>
    </row>
    <row r="13" spans="1:106" ht="12.75">
      <c r="A13">
        <f>ROW(Source!A27)</f>
        <v>27</v>
      </c>
      <c r="B13">
        <v>26917020</v>
      </c>
      <c r="C13">
        <v>26921672</v>
      </c>
      <c r="D13">
        <v>9415352</v>
      </c>
      <c r="E13">
        <v>1</v>
      </c>
      <c r="F13">
        <v>1</v>
      </c>
      <c r="G13">
        <v>1</v>
      </c>
      <c r="H13">
        <v>1</v>
      </c>
      <c r="I13" t="s">
        <v>254</v>
      </c>
      <c r="K13" t="s">
        <v>255</v>
      </c>
      <c r="L13">
        <v>1369</v>
      </c>
      <c r="N13">
        <v>1013</v>
      </c>
      <c r="O13" t="s">
        <v>232</v>
      </c>
      <c r="P13" t="s">
        <v>232</v>
      </c>
      <c r="Q13">
        <v>1</v>
      </c>
      <c r="W13">
        <v>0</v>
      </c>
      <c r="X13">
        <v>-1673341983</v>
      </c>
      <c r="Y13">
        <v>41.814</v>
      </c>
      <c r="AA13">
        <v>0</v>
      </c>
      <c r="AB13">
        <v>0</v>
      </c>
      <c r="AC13">
        <v>0</v>
      </c>
      <c r="AD13">
        <v>141.83</v>
      </c>
      <c r="AE13">
        <v>0</v>
      </c>
      <c r="AF13">
        <v>0</v>
      </c>
      <c r="AG13">
        <v>0</v>
      </c>
      <c r="AH13">
        <v>141.83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0</v>
      </c>
      <c r="AP13">
        <v>1</v>
      </c>
      <c r="AQ13">
        <v>1</v>
      </c>
      <c r="AR13">
        <v>0</v>
      </c>
      <c r="AT13">
        <v>30.3</v>
      </c>
      <c r="AU13" t="s">
        <v>38</v>
      </c>
      <c r="AV13">
        <v>1</v>
      </c>
      <c r="AW13">
        <v>2</v>
      </c>
      <c r="AX13">
        <v>26921679</v>
      </c>
      <c r="AY13">
        <v>2</v>
      </c>
      <c r="AZ13">
        <v>131072</v>
      </c>
      <c r="BA13">
        <v>14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4297.4490000000005</v>
      </c>
      <c r="BN13">
        <v>30.3</v>
      </c>
      <c r="BO13">
        <v>0</v>
      </c>
      <c r="BP13">
        <v>1</v>
      </c>
      <c r="BQ13">
        <v>0</v>
      </c>
      <c r="BR13">
        <v>0</v>
      </c>
      <c r="BS13">
        <v>0</v>
      </c>
      <c r="BT13">
        <v>5930.479620000001</v>
      </c>
      <c r="BU13">
        <v>41.814</v>
      </c>
      <c r="BV13">
        <v>0</v>
      </c>
      <c r="BW13">
        <v>1</v>
      </c>
      <c r="CX13">
        <f>Y13*Source!I27</f>
        <v>68.115006</v>
      </c>
      <c r="CY13">
        <f>AD13</f>
        <v>141.83</v>
      </c>
      <c r="CZ13">
        <f>AH13</f>
        <v>141.83</v>
      </c>
      <c r="DA13">
        <f>AL13</f>
        <v>1</v>
      </c>
      <c r="DB13">
        <v>0</v>
      </c>
    </row>
    <row r="14" spans="1:106" ht="12.75">
      <c r="A14">
        <f>ROW(Source!A27)</f>
        <v>27</v>
      </c>
      <c r="B14">
        <v>26917020</v>
      </c>
      <c r="C14">
        <v>26921672</v>
      </c>
      <c r="D14">
        <v>121548</v>
      </c>
      <c r="E14">
        <v>1</v>
      </c>
      <c r="F14">
        <v>1</v>
      </c>
      <c r="G14">
        <v>1</v>
      </c>
      <c r="H14">
        <v>1</v>
      </c>
      <c r="I14" t="s">
        <v>23</v>
      </c>
      <c r="K14" t="s">
        <v>233</v>
      </c>
      <c r="L14">
        <v>608254</v>
      </c>
      <c r="N14">
        <v>1013</v>
      </c>
      <c r="O14" t="s">
        <v>234</v>
      </c>
      <c r="P14" t="s">
        <v>234</v>
      </c>
      <c r="Q14">
        <v>1</v>
      </c>
      <c r="W14">
        <v>0</v>
      </c>
      <c r="X14">
        <v>-185737400</v>
      </c>
      <c r="Y14">
        <v>16.529999999999998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0</v>
      </c>
      <c r="AP14">
        <v>1</v>
      </c>
      <c r="AQ14">
        <v>1</v>
      </c>
      <c r="AR14">
        <v>0</v>
      </c>
      <c r="AT14">
        <v>11.02</v>
      </c>
      <c r="AU14" t="s">
        <v>37</v>
      </c>
      <c r="AV14">
        <v>2</v>
      </c>
      <c r="AW14">
        <v>2</v>
      </c>
      <c r="AX14">
        <v>26921680</v>
      </c>
      <c r="AY14">
        <v>1</v>
      </c>
      <c r="AZ14">
        <v>0</v>
      </c>
      <c r="BA14">
        <v>15</v>
      </c>
      <c r="BB14">
        <v>1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11.02</v>
      </c>
      <c r="BP14">
        <v>1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16.529999999999998</v>
      </c>
      <c r="BW14">
        <v>1</v>
      </c>
      <c r="CX14">
        <f>Y14*Source!I27</f>
        <v>26.927369999999996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ht="12.75">
      <c r="A15">
        <f>ROW(Source!A27)</f>
        <v>27</v>
      </c>
      <c r="B15">
        <v>26917020</v>
      </c>
      <c r="C15">
        <v>26921672</v>
      </c>
      <c r="D15">
        <v>0</v>
      </c>
      <c r="E15">
        <v>1</v>
      </c>
      <c r="F15">
        <v>1</v>
      </c>
      <c r="G15">
        <v>1</v>
      </c>
      <c r="H15">
        <v>2</v>
      </c>
      <c r="I15" t="s">
        <v>256</v>
      </c>
      <c r="J15" t="s">
        <v>257</v>
      </c>
      <c r="K15" t="s">
        <v>258</v>
      </c>
      <c r="L15">
        <v>1368</v>
      </c>
      <c r="N15">
        <v>1011</v>
      </c>
      <c r="O15" t="s">
        <v>238</v>
      </c>
      <c r="P15" t="s">
        <v>238</v>
      </c>
      <c r="Q15">
        <v>1</v>
      </c>
      <c r="W15">
        <v>0</v>
      </c>
      <c r="X15">
        <v>1848758713</v>
      </c>
      <c r="Y15">
        <v>16.529999999999998</v>
      </c>
      <c r="AA15">
        <v>0</v>
      </c>
      <c r="AB15">
        <v>658.15</v>
      </c>
      <c r="AC15">
        <v>0</v>
      </c>
      <c r="AD15">
        <v>0</v>
      </c>
      <c r="AE15">
        <v>0</v>
      </c>
      <c r="AF15">
        <v>658.15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0</v>
      </c>
      <c r="AP15">
        <v>1</v>
      </c>
      <c r="AQ15">
        <v>1</v>
      </c>
      <c r="AR15">
        <v>0</v>
      </c>
      <c r="AT15">
        <v>11.02</v>
      </c>
      <c r="AU15" t="s">
        <v>37</v>
      </c>
      <c r="AV15">
        <v>0</v>
      </c>
      <c r="AW15">
        <v>1</v>
      </c>
      <c r="AX15">
        <v>-1</v>
      </c>
      <c r="AY15">
        <v>0</v>
      </c>
      <c r="AZ15">
        <v>0</v>
      </c>
      <c r="BB15">
        <v>1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7252.812999999999</v>
      </c>
      <c r="BL15">
        <v>0</v>
      </c>
      <c r="BM15">
        <v>0</v>
      </c>
      <c r="BN15">
        <v>0</v>
      </c>
      <c r="BO15">
        <v>0</v>
      </c>
      <c r="BP15">
        <v>1</v>
      </c>
      <c r="BQ15">
        <v>0</v>
      </c>
      <c r="BR15">
        <v>10879.219499999997</v>
      </c>
      <c r="BS15">
        <v>0</v>
      </c>
      <c r="BT15">
        <v>0</v>
      </c>
      <c r="BU15">
        <v>0</v>
      </c>
      <c r="BV15">
        <v>0</v>
      </c>
      <c r="BW15">
        <v>1</v>
      </c>
      <c r="CX15">
        <f>Y15*Source!I27</f>
        <v>26.927369999999996</v>
      </c>
      <c r="CY15">
        <f>AB15</f>
        <v>658.15</v>
      </c>
      <c r="CZ15">
        <f>AF15</f>
        <v>658.15</v>
      </c>
      <c r="DA15">
        <f>AJ15</f>
        <v>1</v>
      </c>
      <c r="DB15">
        <v>0</v>
      </c>
    </row>
    <row r="16" spans="1:106" ht="12.75">
      <c r="A16">
        <f>ROW(Source!A27)</f>
        <v>27</v>
      </c>
      <c r="B16">
        <v>26917020</v>
      </c>
      <c r="C16">
        <v>26921672</v>
      </c>
      <c r="D16">
        <v>0</v>
      </c>
      <c r="E16">
        <v>0</v>
      </c>
      <c r="F16">
        <v>1</v>
      </c>
      <c r="G16">
        <v>1</v>
      </c>
      <c r="H16">
        <v>3</v>
      </c>
      <c r="K16" t="s">
        <v>259</v>
      </c>
      <c r="L16">
        <v>1348</v>
      </c>
      <c r="N16">
        <v>1009</v>
      </c>
      <c r="O16" t="s">
        <v>115</v>
      </c>
      <c r="P16" t="s">
        <v>115</v>
      </c>
      <c r="Q16">
        <v>1000</v>
      </c>
      <c r="W16">
        <v>0</v>
      </c>
      <c r="X16">
        <v>2089251161</v>
      </c>
      <c r="Y16">
        <v>0.14</v>
      </c>
      <c r="AA16">
        <v>34745.76</v>
      </c>
      <c r="AB16">
        <v>0</v>
      </c>
      <c r="AC16">
        <v>0</v>
      </c>
      <c r="AD16">
        <v>0</v>
      </c>
      <c r="AE16">
        <v>34745.76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2</v>
      </c>
      <c r="AQ16">
        <v>1</v>
      </c>
      <c r="AR16">
        <v>0</v>
      </c>
      <c r="AT16">
        <v>0.14</v>
      </c>
      <c r="AV16">
        <v>0</v>
      </c>
      <c r="AW16">
        <v>1</v>
      </c>
      <c r="AX16">
        <v>-1</v>
      </c>
      <c r="AY16">
        <v>0</v>
      </c>
      <c r="AZ16">
        <v>0</v>
      </c>
      <c r="BB16">
        <v>1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4864.406400000001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1</v>
      </c>
      <c r="BQ16">
        <v>4864.406400000001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1</v>
      </c>
      <c r="CX16">
        <f>Y16*Source!I27</f>
        <v>0.22806</v>
      </c>
      <c r="CY16">
        <f>AA16</f>
        <v>34745.76</v>
      </c>
      <c r="CZ16">
        <f>AE16</f>
        <v>34745.76</v>
      </c>
      <c r="DA16">
        <f>AI16</f>
        <v>1</v>
      </c>
      <c r="DB16">
        <v>0</v>
      </c>
    </row>
    <row r="17" spans="1:106" ht="12.75">
      <c r="A17">
        <f>ROW(Source!A27)</f>
        <v>27</v>
      </c>
      <c r="B17">
        <v>26917020</v>
      </c>
      <c r="C17">
        <v>26921672</v>
      </c>
      <c r="D17">
        <v>24330261</v>
      </c>
      <c r="E17">
        <v>1</v>
      </c>
      <c r="F17">
        <v>1</v>
      </c>
      <c r="G17">
        <v>1</v>
      </c>
      <c r="H17">
        <v>3</v>
      </c>
      <c r="I17" t="s">
        <v>260</v>
      </c>
      <c r="J17" t="s">
        <v>261</v>
      </c>
      <c r="K17" t="s">
        <v>262</v>
      </c>
      <c r="L17">
        <v>1339</v>
      </c>
      <c r="N17">
        <v>1007</v>
      </c>
      <c r="O17" t="s">
        <v>263</v>
      </c>
      <c r="P17" t="s">
        <v>263</v>
      </c>
      <c r="Q17">
        <v>1</v>
      </c>
      <c r="W17">
        <v>0</v>
      </c>
      <c r="X17">
        <v>-405691298</v>
      </c>
      <c r="Y17">
        <v>0.06</v>
      </c>
      <c r="AA17">
        <v>5508.47</v>
      </c>
      <c r="AB17">
        <v>0</v>
      </c>
      <c r="AC17">
        <v>0</v>
      </c>
      <c r="AD17">
        <v>0</v>
      </c>
      <c r="AE17">
        <v>5508.47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0</v>
      </c>
      <c r="AP17">
        <v>0</v>
      </c>
      <c r="AQ17">
        <v>1</v>
      </c>
      <c r="AR17">
        <v>0</v>
      </c>
      <c r="AT17">
        <v>0.06</v>
      </c>
      <c r="AV17">
        <v>0</v>
      </c>
      <c r="AW17">
        <v>2</v>
      </c>
      <c r="AX17">
        <v>26921682</v>
      </c>
      <c r="AY17">
        <v>2</v>
      </c>
      <c r="AZ17">
        <v>16384</v>
      </c>
      <c r="BA17">
        <v>17</v>
      </c>
      <c r="BB17">
        <v>1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330.5082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1</v>
      </c>
      <c r="BQ17">
        <v>330.5082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1</v>
      </c>
      <c r="CX17">
        <f>Y17*Source!I27</f>
        <v>0.09774</v>
      </c>
      <c r="CY17">
        <f>AA17</f>
        <v>5508.47</v>
      </c>
      <c r="CZ17">
        <f>AE17</f>
        <v>5508.47</v>
      </c>
      <c r="DA17">
        <f>AI17</f>
        <v>1</v>
      </c>
      <c r="DB17">
        <v>0</v>
      </c>
    </row>
    <row r="18" spans="1:106" ht="12.75">
      <c r="A18">
        <f>ROW(Source!A27)</f>
        <v>27</v>
      </c>
      <c r="B18">
        <v>26917020</v>
      </c>
      <c r="C18">
        <v>26921672</v>
      </c>
      <c r="D18">
        <v>24786284</v>
      </c>
      <c r="E18">
        <v>1</v>
      </c>
      <c r="F18">
        <v>1</v>
      </c>
      <c r="G18">
        <v>1</v>
      </c>
      <c r="H18">
        <v>3</v>
      </c>
      <c r="I18" t="s">
        <v>264</v>
      </c>
      <c r="J18" t="s">
        <v>265</v>
      </c>
      <c r="K18" t="s">
        <v>266</v>
      </c>
      <c r="L18">
        <v>1339</v>
      </c>
      <c r="N18">
        <v>1007</v>
      </c>
      <c r="O18" t="s">
        <v>263</v>
      </c>
      <c r="P18" t="s">
        <v>263</v>
      </c>
      <c r="Q18">
        <v>1</v>
      </c>
      <c r="W18">
        <v>0</v>
      </c>
      <c r="X18">
        <v>-1865239088</v>
      </c>
      <c r="Y18">
        <v>10.2</v>
      </c>
      <c r="AA18">
        <v>4110.17</v>
      </c>
      <c r="AB18">
        <v>0</v>
      </c>
      <c r="AC18">
        <v>0</v>
      </c>
      <c r="AD18">
        <v>0</v>
      </c>
      <c r="AE18">
        <v>4110.17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0</v>
      </c>
      <c r="AP18">
        <v>0</v>
      </c>
      <c r="AQ18">
        <v>1</v>
      </c>
      <c r="AR18">
        <v>0</v>
      </c>
      <c r="AT18">
        <v>10.2</v>
      </c>
      <c r="AV18">
        <v>0</v>
      </c>
      <c r="AW18">
        <v>2</v>
      </c>
      <c r="AX18">
        <v>26921683</v>
      </c>
      <c r="AY18">
        <v>2</v>
      </c>
      <c r="AZ18">
        <v>16384</v>
      </c>
      <c r="BA18">
        <v>18</v>
      </c>
      <c r="BB18">
        <v>1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41923.734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1</v>
      </c>
      <c r="BQ18">
        <v>41923.734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1</v>
      </c>
      <c r="CX18">
        <f>Y18*Source!I27</f>
        <v>16.6158</v>
      </c>
      <c r="CY18">
        <f>AA18</f>
        <v>4110.17</v>
      </c>
      <c r="CZ18">
        <f>AE18</f>
        <v>4110.17</v>
      </c>
      <c r="DA18">
        <f>AI18</f>
        <v>1</v>
      </c>
      <c r="DB18">
        <v>0</v>
      </c>
    </row>
    <row r="19" spans="1:106" ht="12.75">
      <c r="A19">
        <f>ROW(Source!A28)</f>
        <v>28</v>
      </c>
      <c r="B19">
        <v>26917020</v>
      </c>
      <c r="C19">
        <v>26918737</v>
      </c>
      <c r="D19">
        <v>9418246</v>
      </c>
      <c r="E19">
        <v>1</v>
      </c>
      <c r="F19">
        <v>1</v>
      </c>
      <c r="G19">
        <v>1</v>
      </c>
      <c r="H19">
        <v>1</v>
      </c>
      <c r="I19" t="s">
        <v>267</v>
      </c>
      <c r="K19" t="s">
        <v>268</v>
      </c>
      <c r="L19">
        <v>1369</v>
      </c>
      <c r="N19">
        <v>1013</v>
      </c>
      <c r="O19" t="s">
        <v>232</v>
      </c>
      <c r="P19" t="s">
        <v>232</v>
      </c>
      <c r="Q19">
        <v>1</v>
      </c>
      <c r="W19">
        <v>0</v>
      </c>
      <c r="X19">
        <v>-1675115149</v>
      </c>
      <c r="Y19">
        <v>85.3</v>
      </c>
      <c r="AA19">
        <v>0</v>
      </c>
      <c r="AB19">
        <v>0</v>
      </c>
      <c r="AC19">
        <v>0</v>
      </c>
      <c r="AD19">
        <v>124.76</v>
      </c>
      <c r="AE19">
        <v>0</v>
      </c>
      <c r="AF19">
        <v>0</v>
      </c>
      <c r="AG19">
        <v>0</v>
      </c>
      <c r="AH19">
        <v>124.76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0</v>
      </c>
      <c r="AP19">
        <v>1</v>
      </c>
      <c r="AQ19">
        <v>1</v>
      </c>
      <c r="AR19">
        <v>0</v>
      </c>
      <c r="AT19">
        <v>85.3</v>
      </c>
      <c r="AV19">
        <v>1</v>
      </c>
      <c r="AW19">
        <v>2</v>
      </c>
      <c r="AX19">
        <v>26918742</v>
      </c>
      <c r="AY19">
        <v>2</v>
      </c>
      <c r="AZ19">
        <v>131072</v>
      </c>
      <c r="BA19">
        <v>20</v>
      </c>
      <c r="BB19">
        <v>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10642.028</v>
      </c>
      <c r="BN19">
        <v>85.3</v>
      </c>
      <c r="BO19">
        <v>0</v>
      </c>
      <c r="BP19">
        <v>1</v>
      </c>
      <c r="BQ19">
        <v>0</v>
      </c>
      <c r="BR19">
        <v>0</v>
      </c>
      <c r="BS19">
        <v>0</v>
      </c>
      <c r="BT19">
        <v>10642.028</v>
      </c>
      <c r="BU19">
        <v>85.3</v>
      </c>
      <c r="BV19">
        <v>0</v>
      </c>
      <c r="BW19">
        <v>1</v>
      </c>
      <c r="CX19">
        <f>Y19*Source!I28</f>
        <v>5.117999999999999</v>
      </c>
      <c r="CY19">
        <f>AD19</f>
        <v>124.76</v>
      </c>
      <c r="CZ19">
        <f>AH19</f>
        <v>124.76</v>
      </c>
      <c r="DA19">
        <f>AL19</f>
        <v>1</v>
      </c>
      <c r="DB19">
        <v>0</v>
      </c>
    </row>
    <row r="20" spans="1:106" ht="12.75">
      <c r="A20">
        <f>ROW(Source!A28)</f>
        <v>28</v>
      </c>
      <c r="B20">
        <v>26917020</v>
      </c>
      <c r="C20">
        <v>26918737</v>
      </c>
      <c r="D20">
        <v>121548</v>
      </c>
      <c r="E20">
        <v>1</v>
      </c>
      <c r="F20">
        <v>1</v>
      </c>
      <c r="G20">
        <v>1</v>
      </c>
      <c r="H20">
        <v>1</v>
      </c>
      <c r="I20" t="s">
        <v>23</v>
      </c>
      <c r="K20" t="s">
        <v>233</v>
      </c>
      <c r="L20">
        <v>608254</v>
      </c>
      <c r="N20">
        <v>1013</v>
      </c>
      <c r="O20" t="s">
        <v>234</v>
      </c>
      <c r="P20" t="s">
        <v>234</v>
      </c>
      <c r="Q20">
        <v>1</v>
      </c>
      <c r="W20">
        <v>0</v>
      </c>
      <c r="X20">
        <v>-185737400</v>
      </c>
      <c r="Y20">
        <v>0.32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0</v>
      </c>
      <c r="AP20">
        <v>1</v>
      </c>
      <c r="AQ20">
        <v>1</v>
      </c>
      <c r="AR20">
        <v>0</v>
      </c>
      <c r="AT20">
        <v>0.32</v>
      </c>
      <c r="AV20">
        <v>2</v>
      </c>
      <c r="AW20">
        <v>2</v>
      </c>
      <c r="AX20">
        <v>26918743</v>
      </c>
      <c r="AY20">
        <v>1</v>
      </c>
      <c r="AZ20">
        <v>0</v>
      </c>
      <c r="BA20">
        <v>21</v>
      </c>
      <c r="BB20">
        <v>1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0.32</v>
      </c>
      <c r="BP20">
        <v>1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0.32</v>
      </c>
      <c r="BW20">
        <v>1</v>
      </c>
      <c r="CX20">
        <f>Y20*Source!I28</f>
        <v>0.0192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ht="12.75">
      <c r="A21">
        <f>ROW(Source!A28)</f>
        <v>28</v>
      </c>
      <c r="B21">
        <v>26917020</v>
      </c>
      <c r="C21">
        <v>26918737</v>
      </c>
      <c r="D21">
        <v>24312004</v>
      </c>
      <c r="E21">
        <v>1</v>
      </c>
      <c r="F21">
        <v>1</v>
      </c>
      <c r="G21">
        <v>1</v>
      </c>
      <c r="H21">
        <v>2</v>
      </c>
      <c r="I21" t="s">
        <v>244</v>
      </c>
      <c r="J21" t="s">
        <v>245</v>
      </c>
      <c r="K21" t="s">
        <v>246</v>
      </c>
      <c r="L21">
        <v>1368</v>
      </c>
      <c r="N21">
        <v>1011</v>
      </c>
      <c r="O21" t="s">
        <v>238</v>
      </c>
      <c r="P21" t="s">
        <v>238</v>
      </c>
      <c r="Q21">
        <v>1</v>
      </c>
      <c r="W21">
        <v>0</v>
      </c>
      <c r="X21">
        <v>1499254570</v>
      </c>
      <c r="Y21">
        <v>0.32</v>
      </c>
      <c r="AA21">
        <v>0</v>
      </c>
      <c r="AB21">
        <v>258.94</v>
      </c>
      <c r="AC21">
        <v>0</v>
      </c>
      <c r="AD21">
        <v>0</v>
      </c>
      <c r="AE21">
        <v>0</v>
      </c>
      <c r="AF21">
        <v>258.94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0</v>
      </c>
      <c r="AP21">
        <v>1</v>
      </c>
      <c r="AQ21">
        <v>1</v>
      </c>
      <c r="AR21">
        <v>0</v>
      </c>
      <c r="AT21">
        <v>0.32</v>
      </c>
      <c r="AV21">
        <v>0</v>
      </c>
      <c r="AW21">
        <v>2</v>
      </c>
      <c r="AX21">
        <v>26918744</v>
      </c>
      <c r="AY21">
        <v>2</v>
      </c>
      <c r="AZ21">
        <v>98304</v>
      </c>
      <c r="BA21">
        <v>22</v>
      </c>
      <c r="BB21">
        <v>1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82.8608</v>
      </c>
      <c r="BL21">
        <v>0</v>
      </c>
      <c r="BM21">
        <v>0</v>
      </c>
      <c r="BN21">
        <v>0</v>
      </c>
      <c r="BO21">
        <v>0</v>
      </c>
      <c r="BP21">
        <v>1</v>
      </c>
      <c r="BQ21">
        <v>0</v>
      </c>
      <c r="BR21">
        <v>82.8608</v>
      </c>
      <c r="BS21">
        <v>0</v>
      </c>
      <c r="BT21">
        <v>0</v>
      </c>
      <c r="BU21">
        <v>0</v>
      </c>
      <c r="BV21">
        <v>0</v>
      </c>
      <c r="BW21">
        <v>1</v>
      </c>
      <c r="CX21">
        <f>Y21*Source!I28</f>
        <v>0.0192</v>
      </c>
      <c r="CY21">
        <f>AB21</f>
        <v>258.94</v>
      </c>
      <c r="CZ21">
        <f>AF21</f>
        <v>258.94</v>
      </c>
      <c r="DA21">
        <f>AJ21</f>
        <v>1</v>
      </c>
      <c r="DB21">
        <v>0</v>
      </c>
    </row>
    <row r="22" spans="1:106" ht="12.75">
      <c r="A22">
        <f>ROW(Source!A28)</f>
        <v>28</v>
      </c>
      <c r="B22">
        <v>26917020</v>
      </c>
      <c r="C22">
        <v>26918737</v>
      </c>
      <c r="D22">
        <v>24506631</v>
      </c>
      <c r="E22">
        <v>1</v>
      </c>
      <c r="F22">
        <v>1</v>
      </c>
      <c r="G22">
        <v>1</v>
      </c>
      <c r="H22">
        <v>3</v>
      </c>
      <c r="I22" t="s">
        <v>269</v>
      </c>
      <c r="J22" t="s">
        <v>270</v>
      </c>
      <c r="K22" t="s">
        <v>271</v>
      </c>
      <c r="L22">
        <v>1348</v>
      </c>
      <c r="N22">
        <v>1009</v>
      </c>
      <c r="O22" t="s">
        <v>115</v>
      </c>
      <c r="P22" t="s">
        <v>115</v>
      </c>
      <c r="Q22">
        <v>1000</v>
      </c>
      <c r="W22">
        <v>0</v>
      </c>
      <c r="X22">
        <v>-46696872</v>
      </c>
      <c r="Y22">
        <v>1.34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0</v>
      </c>
      <c r="AP22">
        <v>0</v>
      </c>
      <c r="AQ22">
        <v>1</v>
      </c>
      <c r="AR22">
        <v>0</v>
      </c>
      <c r="AT22">
        <v>1.34</v>
      </c>
      <c r="AV22">
        <v>0</v>
      </c>
      <c r="AW22">
        <v>2</v>
      </c>
      <c r="AX22">
        <v>26918745</v>
      </c>
      <c r="AY22">
        <v>1</v>
      </c>
      <c r="AZ22">
        <v>0</v>
      </c>
      <c r="BA22">
        <v>23</v>
      </c>
      <c r="BB22">
        <v>1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Y22*Source!I28</f>
        <v>0.0804</v>
      </c>
      <c r="CY22">
        <f>AA22</f>
        <v>0</v>
      </c>
      <c r="CZ22">
        <f>AE22</f>
        <v>0</v>
      </c>
      <c r="DA22">
        <f>AI22</f>
        <v>1</v>
      </c>
      <c r="DB22">
        <v>0</v>
      </c>
    </row>
    <row r="23" spans="1:106" ht="12.75">
      <c r="A23">
        <f>ROW(Source!A29)</f>
        <v>29</v>
      </c>
      <c r="B23">
        <v>26917020</v>
      </c>
      <c r="C23">
        <v>26918746</v>
      </c>
      <c r="D23">
        <v>9416409</v>
      </c>
      <c r="E23">
        <v>1</v>
      </c>
      <c r="F23">
        <v>1</v>
      </c>
      <c r="G23">
        <v>1</v>
      </c>
      <c r="H23">
        <v>1</v>
      </c>
      <c r="I23" t="s">
        <v>272</v>
      </c>
      <c r="K23" t="s">
        <v>273</v>
      </c>
      <c r="L23">
        <v>1369</v>
      </c>
      <c r="N23">
        <v>1013</v>
      </c>
      <c r="O23" t="s">
        <v>232</v>
      </c>
      <c r="P23" t="s">
        <v>232</v>
      </c>
      <c r="Q23">
        <v>1</v>
      </c>
      <c r="W23">
        <v>0</v>
      </c>
      <c r="X23">
        <v>-262818771</v>
      </c>
      <c r="Y23">
        <v>85.00799999999998</v>
      </c>
      <c r="AA23">
        <v>0</v>
      </c>
      <c r="AB23">
        <v>0</v>
      </c>
      <c r="AC23">
        <v>0</v>
      </c>
      <c r="AD23">
        <v>146.28</v>
      </c>
      <c r="AE23">
        <v>0</v>
      </c>
      <c r="AF23">
        <v>0</v>
      </c>
      <c r="AG23">
        <v>0</v>
      </c>
      <c r="AH23">
        <v>146.28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0</v>
      </c>
      <c r="AP23">
        <v>1</v>
      </c>
      <c r="AQ23">
        <v>1</v>
      </c>
      <c r="AR23">
        <v>0</v>
      </c>
      <c r="AT23">
        <v>61.6</v>
      </c>
      <c r="AU23" t="s">
        <v>38</v>
      </c>
      <c r="AV23">
        <v>1</v>
      </c>
      <c r="AW23">
        <v>2</v>
      </c>
      <c r="AX23">
        <v>26918755</v>
      </c>
      <c r="AY23">
        <v>2</v>
      </c>
      <c r="AZ23">
        <v>131072</v>
      </c>
      <c r="BA23">
        <v>24</v>
      </c>
      <c r="BB23">
        <v>1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9010.848</v>
      </c>
      <c r="BN23">
        <v>61.6</v>
      </c>
      <c r="BO23">
        <v>0</v>
      </c>
      <c r="BP23">
        <v>1</v>
      </c>
      <c r="BQ23">
        <v>0</v>
      </c>
      <c r="BR23">
        <v>0</v>
      </c>
      <c r="BS23">
        <v>0</v>
      </c>
      <c r="BT23">
        <v>12434.970239999997</v>
      </c>
      <c r="BU23">
        <v>85.00799999999998</v>
      </c>
      <c r="BV23">
        <v>0</v>
      </c>
      <c r="BW23">
        <v>1</v>
      </c>
      <c r="CX23">
        <f>Y23*Source!I29</f>
        <v>5.100479999999998</v>
      </c>
      <c r="CY23">
        <f>AD23</f>
        <v>146.28</v>
      </c>
      <c r="CZ23">
        <f>AH23</f>
        <v>146.28</v>
      </c>
      <c r="DA23">
        <f>AL23</f>
        <v>1</v>
      </c>
      <c r="DB23">
        <v>0</v>
      </c>
    </row>
    <row r="24" spans="1:106" ht="12.75">
      <c r="A24">
        <f>ROW(Source!A29)</f>
        <v>29</v>
      </c>
      <c r="B24">
        <v>26917020</v>
      </c>
      <c r="C24">
        <v>26918746</v>
      </c>
      <c r="D24">
        <v>121548</v>
      </c>
      <c r="E24">
        <v>1</v>
      </c>
      <c r="F24">
        <v>1</v>
      </c>
      <c r="G24">
        <v>1</v>
      </c>
      <c r="H24">
        <v>1</v>
      </c>
      <c r="I24" t="s">
        <v>23</v>
      </c>
      <c r="K24" t="s">
        <v>233</v>
      </c>
      <c r="L24">
        <v>608254</v>
      </c>
      <c r="N24">
        <v>1013</v>
      </c>
      <c r="O24" t="s">
        <v>234</v>
      </c>
      <c r="P24" t="s">
        <v>234</v>
      </c>
      <c r="Q24">
        <v>1</v>
      </c>
      <c r="W24">
        <v>0</v>
      </c>
      <c r="X24">
        <v>-185737400</v>
      </c>
      <c r="Y24">
        <v>0.075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0</v>
      </c>
      <c r="AP24">
        <v>1</v>
      </c>
      <c r="AQ24">
        <v>1</v>
      </c>
      <c r="AR24">
        <v>0</v>
      </c>
      <c r="AT24">
        <v>0.05</v>
      </c>
      <c r="AU24" t="s">
        <v>37</v>
      </c>
      <c r="AV24">
        <v>2</v>
      </c>
      <c r="AW24">
        <v>2</v>
      </c>
      <c r="AX24">
        <v>26918756</v>
      </c>
      <c r="AY24">
        <v>1</v>
      </c>
      <c r="AZ24">
        <v>0</v>
      </c>
      <c r="BA24">
        <v>25</v>
      </c>
      <c r="BB24">
        <v>1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0.05</v>
      </c>
      <c r="BP24">
        <v>1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0.075</v>
      </c>
      <c r="BW24">
        <v>1</v>
      </c>
      <c r="CX24">
        <f>Y24*Source!I29</f>
        <v>0.0045</v>
      </c>
      <c r="CY24">
        <f>AD24</f>
        <v>0</v>
      </c>
      <c r="CZ24">
        <f>AH24</f>
        <v>0</v>
      </c>
      <c r="DA24">
        <f>AL24</f>
        <v>1</v>
      </c>
      <c r="DB24">
        <v>0</v>
      </c>
    </row>
    <row r="25" spans="1:106" ht="12.75">
      <c r="A25">
        <f>ROW(Source!A29)</f>
        <v>29</v>
      </c>
      <c r="B25">
        <v>26917020</v>
      </c>
      <c r="C25">
        <v>26918746</v>
      </c>
      <c r="D25">
        <v>24262159</v>
      </c>
      <c r="E25">
        <v>1</v>
      </c>
      <c r="F25">
        <v>1</v>
      </c>
      <c r="G25">
        <v>1</v>
      </c>
      <c r="H25">
        <v>2</v>
      </c>
      <c r="I25" t="s">
        <v>274</v>
      </c>
      <c r="J25" t="s">
        <v>275</v>
      </c>
      <c r="K25" t="s">
        <v>276</v>
      </c>
      <c r="L25">
        <v>1368</v>
      </c>
      <c r="N25">
        <v>1011</v>
      </c>
      <c r="O25" t="s">
        <v>238</v>
      </c>
      <c r="P25" t="s">
        <v>238</v>
      </c>
      <c r="Q25">
        <v>1</v>
      </c>
      <c r="W25">
        <v>0</v>
      </c>
      <c r="X25">
        <v>-727480001</v>
      </c>
      <c r="Y25">
        <v>0.1265625</v>
      </c>
      <c r="AA25">
        <v>0</v>
      </c>
      <c r="AB25">
        <v>636.03</v>
      </c>
      <c r="AC25">
        <v>0</v>
      </c>
      <c r="AD25">
        <v>0</v>
      </c>
      <c r="AE25">
        <v>0</v>
      </c>
      <c r="AF25">
        <v>636.03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0</v>
      </c>
      <c r="AP25">
        <v>1</v>
      </c>
      <c r="AQ25">
        <v>1</v>
      </c>
      <c r="AR25">
        <v>0</v>
      </c>
      <c r="AT25">
        <v>0.084375</v>
      </c>
      <c r="AU25" t="s">
        <v>37</v>
      </c>
      <c r="AV25">
        <v>0</v>
      </c>
      <c r="AW25">
        <v>2</v>
      </c>
      <c r="AX25">
        <v>26918758</v>
      </c>
      <c r="AY25">
        <v>2</v>
      </c>
      <c r="AZ25">
        <v>104448</v>
      </c>
      <c r="BA25">
        <v>27</v>
      </c>
      <c r="BB25">
        <v>1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53.66503125</v>
      </c>
      <c r="BL25">
        <v>0</v>
      </c>
      <c r="BM25">
        <v>0</v>
      </c>
      <c r="BN25">
        <v>0</v>
      </c>
      <c r="BO25">
        <v>0</v>
      </c>
      <c r="BP25">
        <v>1</v>
      </c>
      <c r="BQ25">
        <v>0</v>
      </c>
      <c r="BR25">
        <v>80.497546875</v>
      </c>
      <c r="BS25">
        <v>0</v>
      </c>
      <c r="BT25">
        <v>0</v>
      </c>
      <c r="BU25">
        <v>0</v>
      </c>
      <c r="BV25">
        <v>0</v>
      </c>
      <c r="BW25">
        <v>1</v>
      </c>
      <c r="CX25">
        <f>Y25*Source!I29</f>
        <v>0.00759375</v>
      </c>
      <c r="CY25">
        <f>AB25</f>
        <v>636.03</v>
      </c>
      <c r="CZ25">
        <f>AF25</f>
        <v>636.03</v>
      </c>
      <c r="DA25">
        <f>AJ25</f>
        <v>1</v>
      </c>
      <c r="DB25">
        <v>0</v>
      </c>
    </row>
    <row r="26" spans="1:106" ht="12.75">
      <c r="A26">
        <f>ROW(Source!A29)</f>
        <v>29</v>
      </c>
      <c r="B26">
        <v>26917020</v>
      </c>
      <c r="C26">
        <v>26918746</v>
      </c>
      <c r="D26">
        <v>24262102</v>
      </c>
      <c r="E26">
        <v>1</v>
      </c>
      <c r="F26">
        <v>1</v>
      </c>
      <c r="G26">
        <v>1</v>
      </c>
      <c r="H26">
        <v>2</v>
      </c>
      <c r="I26" t="s">
        <v>277</v>
      </c>
      <c r="J26" t="s">
        <v>278</v>
      </c>
      <c r="K26" t="s">
        <v>279</v>
      </c>
      <c r="L26">
        <v>1368</v>
      </c>
      <c r="N26">
        <v>1011</v>
      </c>
      <c r="O26" t="s">
        <v>238</v>
      </c>
      <c r="P26" t="s">
        <v>238</v>
      </c>
      <c r="Q26">
        <v>1</v>
      </c>
      <c r="W26">
        <v>0</v>
      </c>
      <c r="X26">
        <v>596191924</v>
      </c>
      <c r="Y26">
        <v>0.03</v>
      </c>
      <c r="AA26">
        <v>0</v>
      </c>
      <c r="AB26">
        <v>698.33</v>
      </c>
      <c r="AC26">
        <v>0</v>
      </c>
      <c r="AD26">
        <v>0</v>
      </c>
      <c r="AE26">
        <v>0</v>
      </c>
      <c r="AF26">
        <v>698.33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0</v>
      </c>
      <c r="AP26">
        <v>1</v>
      </c>
      <c r="AQ26">
        <v>1</v>
      </c>
      <c r="AR26">
        <v>0</v>
      </c>
      <c r="AT26">
        <v>0.02</v>
      </c>
      <c r="AU26" t="s">
        <v>37</v>
      </c>
      <c r="AV26">
        <v>0</v>
      </c>
      <c r="AW26">
        <v>2</v>
      </c>
      <c r="AX26">
        <v>26918759</v>
      </c>
      <c r="AY26">
        <v>2</v>
      </c>
      <c r="AZ26">
        <v>98304</v>
      </c>
      <c r="BA26">
        <v>28</v>
      </c>
      <c r="BB26">
        <v>1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13.966600000000001</v>
      </c>
      <c r="BL26">
        <v>0</v>
      </c>
      <c r="BM26">
        <v>0</v>
      </c>
      <c r="BN26">
        <v>0</v>
      </c>
      <c r="BO26">
        <v>0</v>
      </c>
      <c r="BP26">
        <v>1</v>
      </c>
      <c r="BQ26">
        <v>0</v>
      </c>
      <c r="BR26">
        <v>20.9499</v>
      </c>
      <c r="BS26">
        <v>0</v>
      </c>
      <c r="BT26">
        <v>0</v>
      </c>
      <c r="BU26">
        <v>0</v>
      </c>
      <c r="BV26">
        <v>0</v>
      </c>
      <c r="BW26">
        <v>1</v>
      </c>
      <c r="CX26">
        <f>Y26*Source!I29</f>
        <v>0.0018</v>
      </c>
      <c r="CY26">
        <f>AB26</f>
        <v>698.33</v>
      </c>
      <c r="CZ26">
        <f>AF26</f>
        <v>698.33</v>
      </c>
      <c r="DA26">
        <f>AJ26</f>
        <v>1</v>
      </c>
      <c r="DB26">
        <v>0</v>
      </c>
    </row>
    <row r="27" spans="1:106" ht="12.75">
      <c r="A27">
        <f>ROW(Source!A29)</f>
        <v>29</v>
      </c>
      <c r="B27">
        <v>26917020</v>
      </c>
      <c r="C27">
        <v>26918746</v>
      </c>
      <c r="D27">
        <v>0</v>
      </c>
      <c r="E27">
        <v>0</v>
      </c>
      <c r="F27">
        <v>1</v>
      </c>
      <c r="G27">
        <v>1</v>
      </c>
      <c r="H27">
        <v>3</v>
      </c>
      <c r="K27" t="s">
        <v>280</v>
      </c>
      <c r="L27">
        <v>1371</v>
      </c>
      <c r="N27">
        <v>1013</v>
      </c>
      <c r="O27" t="s">
        <v>281</v>
      </c>
      <c r="P27" t="s">
        <v>281</v>
      </c>
      <c r="Q27">
        <v>1</v>
      </c>
      <c r="W27">
        <v>0</v>
      </c>
      <c r="X27">
        <v>866194200</v>
      </c>
      <c r="Y27">
        <v>66.66666666666667</v>
      </c>
      <c r="AA27">
        <v>762.71</v>
      </c>
      <c r="AB27">
        <v>0</v>
      </c>
      <c r="AC27">
        <v>0</v>
      </c>
      <c r="AD27">
        <v>0</v>
      </c>
      <c r="AE27">
        <v>762.71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0</v>
      </c>
      <c r="AP27">
        <v>2</v>
      </c>
      <c r="AQ27">
        <v>1</v>
      </c>
      <c r="AR27">
        <v>0</v>
      </c>
      <c r="AT27">
        <v>66.66666666666667</v>
      </c>
      <c r="AV27">
        <v>0</v>
      </c>
      <c r="AW27">
        <v>1</v>
      </c>
      <c r="AX27">
        <v>-1</v>
      </c>
      <c r="AY27">
        <v>0</v>
      </c>
      <c r="AZ27">
        <v>0</v>
      </c>
      <c r="BB27">
        <v>1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50847.333333333336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1</v>
      </c>
      <c r="BQ27">
        <v>50847.333333333336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1</v>
      </c>
      <c r="CX27">
        <f>Y27*Source!I29</f>
        <v>4</v>
      </c>
      <c r="CY27">
        <f>AA27</f>
        <v>762.71</v>
      </c>
      <c r="CZ27">
        <f>AE27</f>
        <v>762.71</v>
      </c>
      <c r="DA27">
        <f>AI27</f>
        <v>1</v>
      </c>
      <c r="DB27">
        <v>0</v>
      </c>
    </row>
    <row r="28" spans="1:106" ht="12.75">
      <c r="A28">
        <f>ROW(Source!A29)</f>
        <v>29</v>
      </c>
      <c r="B28">
        <v>26917020</v>
      </c>
      <c r="C28">
        <v>26918746</v>
      </c>
      <c r="D28">
        <v>0</v>
      </c>
      <c r="E28">
        <v>0</v>
      </c>
      <c r="F28">
        <v>1</v>
      </c>
      <c r="G28">
        <v>1</v>
      </c>
      <c r="H28">
        <v>3</v>
      </c>
      <c r="K28" t="s">
        <v>282</v>
      </c>
      <c r="L28">
        <v>1301</v>
      </c>
      <c r="N28">
        <v>1003</v>
      </c>
      <c r="O28" t="s">
        <v>283</v>
      </c>
      <c r="P28" t="s">
        <v>283</v>
      </c>
      <c r="Q28">
        <v>1</v>
      </c>
      <c r="W28">
        <v>0</v>
      </c>
      <c r="X28">
        <v>-63923269</v>
      </c>
      <c r="Y28">
        <v>99.8</v>
      </c>
      <c r="AA28">
        <v>1010</v>
      </c>
      <c r="AB28">
        <v>0</v>
      </c>
      <c r="AC28">
        <v>0</v>
      </c>
      <c r="AD28">
        <v>0</v>
      </c>
      <c r="AE28">
        <v>1010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0</v>
      </c>
      <c r="AP28">
        <v>2</v>
      </c>
      <c r="AQ28">
        <v>1</v>
      </c>
      <c r="AR28">
        <v>0</v>
      </c>
      <c r="AT28">
        <v>99.8</v>
      </c>
      <c r="AV28">
        <v>0</v>
      </c>
      <c r="AW28">
        <v>1</v>
      </c>
      <c r="AX28">
        <v>-1</v>
      </c>
      <c r="AY28">
        <v>0</v>
      </c>
      <c r="AZ28">
        <v>0</v>
      </c>
      <c r="BB28">
        <v>1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100798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1</v>
      </c>
      <c r="BQ28">
        <v>100798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1</v>
      </c>
      <c r="CX28">
        <f>Y28*Source!I29</f>
        <v>5.9879999999999995</v>
      </c>
      <c r="CY28">
        <f>AA28</f>
        <v>1010</v>
      </c>
      <c r="CZ28">
        <f>AE28</f>
        <v>1010</v>
      </c>
      <c r="DA28">
        <f>AI28</f>
        <v>1</v>
      </c>
      <c r="DB28">
        <v>0</v>
      </c>
    </row>
    <row r="29" spans="1:106" ht="12.75">
      <c r="A29">
        <f>ROW(Source!A29)</f>
        <v>29</v>
      </c>
      <c r="B29">
        <v>26917020</v>
      </c>
      <c r="C29">
        <v>26918746</v>
      </c>
      <c r="D29">
        <v>0</v>
      </c>
      <c r="E29">
        <v>0</v>
      </c>
      <c r="F29">
        <v>1</v>
      </c>
      <c r="G29">
        <v>1</v>
      </c>
      <c r="H29">
        <v>3</v>
      </c>
      <c r="K29" t="s">
        <v>284</v>
      </c>
      <c r="L29">
        <v>1371</v>
      </c>
      <c r="N29">
        <v>1013</v>
      </c>
      <c r="O29" t="s">
        <v>281</v>
      </c>
      <c r="P29" t="s">
        <v>281</v>
      </c>
      <c r="Q29">
        <v>1</v>
      </c>
      <c r="W29">
        <v>0</v>
      </c>
      <c r="X29">
        <v>1675210813</v>
      </c>
      <c r="Y29">
        <v>66.66666666666667</v>
      </c>
      <c r="AA29">
        <v>436.44</v>
      </c>
      <c r="AB29">
        <v>0</v>
      </c>
      <c r="AC29">
        <v>0</v>
      </c>
      <c r="AD29">
        <v>0</v>
      </c>
      <c r="AE29">
        <v>436.44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0</v>
      </c>
      <c r="AP29">
        <v>2</v>
      </c>
      <c r="AQ29">
        <v>1</v>
      </c>
      <c r="AR29">
        <v>0</v>
      </c>
      <c r="AT29">
        <v>66.66666666666667</v>
      </c>
      <c r="AV29">
        <v>0</v>
      </c>
      <c r="AW29">
        <v>1</v>
      </c>
      <c r="AX29">
        <v>-1</v>
      </c>
      <c r="AY29">
        <v>0</v>
      </c>
      <c r="AZ29">
        <v>0</v>
      </c>
      <c r="BB29">
        <v>1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29096.000000000004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1</v>
      </c>
      <c r="BQ29">
        <v>29096.000000000004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1</v>
      </c>
      <c r="CX29">
        <f>Y29*Source!I29</f>
        <v>4</v>
      </c>
      <c r="CY29">
        <f>AA29</f>
        <v>436.44</v>
      </c>
      <c r="CZ29">
        <f>AE29</f>
        <v>436.44</v>
      </c>
      <c r="DA29">
        <f>AI29</f>
        <v>1</v>
      </c>
      <c r="DB29">
        <v>0</v>
      </c>
    </row>
    <row r="30" spans="1:106" ht="12.75">
      <c r="A30">
        <f>ROW(Source!A29)</f>
        <v>29</v>
      </c>
      <c r="B30">
        <v>26917020</v>
      </c>
      <c r="C30">
        <v>26918746</v>
      </c>
      <c r="D30">
        <v>24270497</v>
      </c>
      <c r="E30">
        <v>1</v>
      </c>
      <c r="F30">
        <v>1</v>
      </c>
      <c r="G30">
        <v>1</v>
      </c>
      <c r="H30">
        <v>3</v>
      </c>
      <c r="I30" t="s">
        <v>285</v>
      </c>
      <c r="J30" t="s">
        <v>286</v>
      </c>
      <c r="K30" t="s">
        <v>287</v>
      </c>
      <c r="L30">
        <v>1348</v>
      </c>
      <c r="N30">
        <v>1009</v>
      </c>
      <c r="O30" t="s">
        <v>115</v>
      </c>
      <c r="P30" t="s">
        <v>115</v>
      </c>
      <c r="Q30">
        <v>1000</v>
      </c>
      <c r="W30">
        <v>0</v>
      </c>
      <c r="X30">
        <v>1997723795</v>
      </c>
      <c r="Y30">
        <v>0.00266</v>
      </c>
      <c r="AA30">
        <v>98305.08</v>
      </c>
      <c r="AB30">
        <v>0</v>
      </c>
      <c r="AC30">
        <v>0</v>
      </c>
      <c r="AD30">
        <v>0</v>
      </c>
      <c r="AE30">
        <v>98305.08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0</v>
      </c>
      <c r="AP30">
        <v>0</v>
      </c>
      <c r="AQ30">
        <v>1</v>
      </c>
      <c r="AR30">
        <v>0</v>
      </c>
      <c r="AT30">
        <v>0.00266</v>
      </c>
      <c r="AV30">
        <v>0</v>
      </c>
      <c r="AW30">
        <v>2</v>
      </c>
      <c r="AX30">
        <v>26918761</v>
      </c>
      <c r="AY30">
        <v>2</v>
      </c>
      <c r="AZ30">
        <v>16384</v>
      </c>
      <c r="BA30">
        <v>30</v>
      </c>
      <c r="BB30">
        <v>1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261.4915128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1</v>
      </c>
      <c r="BQ30">
        <v>261.4915128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1</v>
      </c>
      <c r="CX30">
        <f>Y30*Source!I29</f>
        <v>0.0001596</v>
      </c>
      <c r="CY30">
        <f>AA30</f>
        <v>98305.08</v>
      </c>
      <c r="CZ30">
        <f>AE30</f>
        <v>98305.08</v>
      </c>
      <c r="DA30">
        <f>AI30</f>
        <v>1</v>
      </c>
      <c r="DB30">
        <v>0</v>
      </c>
    </row>
    <row r="31" spans="1:106" ht="12.75">
      <c r="A31">
        <f>ROW(Source!A30)</f>
        <v>30</v>
      </c>
      <c r="B31">
        <v>26917020</v>
      </c>
      <c r="C31">
        <v>26918766</v>
      </c>
      <c r="D31">
        <v>9415735</v>
      </c>
      <c r="E31">
        <v>1</v>
      </c>
      <c r="F31">
        <v>1</v>
      </c>
      <c r="G31">
        <v>1</v>
      </c>
      <c r="H31">
        <v>1</v>
      </c>
      <c r="I31" t="s">
        <v>288</v>
      </c>
      <c r="K31" t="s">
        <v>289</v>
      </c>
      <c r="L31">
        <v>1369</v>
      </c>
      <c r="N31">
        <v>1013</v>
      </c>
      <c r="O31" t="s">
        <v>232</v>
      </c>
      <c r="P31" t="s">
        <v>232</v>
      </c>
      <c r="Q31">
        <v>1</v>
      </c>
      <c r="W31">
        <v>0</v>
      </c>
      <c r="X31">
        <v>-887838387</v>
      </c>
      <c r="Y31">
        <v>234</v>
      </c>
      <c r="AA31">
        <v>0</v>
      </c>
      <c r="AB31">
        <v>0</v>
      </c>
      <c r="AC31">
        <v>0</v>
      </c>
      <c r="AD31">
        <v>133.77</v>
      </c>
      <c r="AE31">
        <v>0</v>
      </c>
      <c r="AF31">
        <v>0</v>
      </c>
      <c r="AG31">
        <v>0</v>
      </c>
      <c r="AH31">
        <v>133.77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0</v>
      </c>
      <c r="AP31">
        <v>1</v>
      </c>
      <c r="AQ31">
        <v>1</v>
      </c>
      <c r="AR31">
        <v>0</v>
      </c>
      <c r="AT31">
        <v>234</v>
      </c>
      <c r="AV31">
        <v>1</v>
      </c>
      <c r="AW31">
        <v>2</v>
      </c>
      <c r="AX31">
        <v>26918772</v>
      </c>
      <c r="AY31">
        <v>2</v>
      </c>
      <c r="AZ31">
        <v>131072</v>
      </c>
      <c r="BA31">
        <v>35</v>
      </c>
      <c r="BB31">
        <v>1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31302.180000000004</v>
      </c>
      <c r="BN31">
        <v>234</v>
      </c>
      <c r="BO31">
        <v>0</v>
      </c>
      <c r="BP31">
        <v>1</v>
      </c>
      <c r="BQ31">
        <v>0</v>
      </c>
      <c r="BR31">
        <v>0</v>
      </c>
      <c r="BS31">
        <v>0</v>
      </c>
      <c r="BT31">
        <v>31302.180000000004</v>
      </c>
      <c r="BU31">
        <v>234</v>
      </c>
      <c r="BV31">
        <v>0</v>
      </c>
      <c r="BW31">
        <v>1</v>
      </c>
      <c r="CX31">
        <f>Y31*Source!I30</f>
        <v>2.34</v>
      </c>
      <c r="CY31">
        <f>AD31</f>
        <v>133.77</v>
      </c>
      <c r="CZ31">
        <f>AH31</f>
        <v>133.77</v>
      </c>
      <c r="DA31">
        <f>AL31</f>
        <v>1</v>
      </c>
      <c r="DB31">
        <v>0</v>
      </c>
    </row>
    <row r="32" spans="1:106" ht="12.75">
      <c r="A32">
        <f>ROW(Source!A30)</f>
        <v>30</v>
      </c>
      <c r="B32">
        <v>26917020</v>
      </c>
      <c r="C32">
        <v>26918766</v>
      </c>
      <c r="D32">
        <v>121548</v>
      </c>
      <c r="E32">
        <v>1</v>
      </c>
      <c r="F32">
        <v>1</v>
      </c>
      <c r="G32">
        <v>1</v>
      </c>
      <c r="H32">
        <v>1</v>
      </c>
      <c r="I32" t="s">
        <v>23</v>
      </c>
      <c r="K32" t="s">
        <v>233</v>
      </c>
      <c r="L32">
        <v>608254</v>
      </c>
      <c r="N32">
        <v>1013</v>
      </c>
      <c r="O32" t="s">
        <v>234</v>
      </c>
      <c r="P32" t="s">
        <v>234</v>
      </c>
      <c r="Q32">
        <v>1</v>
      </c>
      <c r="W32">
        <v>0</v>
      </c>
      <c r="X32">
        <v>-185737400</v>
      </c>
      <c r="Y32">
        <v>0.56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0</v>
      </c>
      <c r="AP32">
        <v>1</v>
      </c>
      <c r="AQ32">
        <v>1</v>
      </c>
      <c r="AR32">
        <v>0</v>
      </c>
      <c r="AT32">
        <v>0.56</v>
      </c>
      <c r="AV32">
        <v>2</v>
      </c>
      <c r="AW32">
        <v>2</v>
      </c>
      <c r="AX32">
        <v>26918773</v>
      </c>
      <c r="AY32">
        <v>1</v>
      </c>
      <c r="AZ32">
        <v>0</v>
      </c>
      <c r="BA32">
        <v>36</v>
      </c>
      <c r="BB32">
        <v>1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0.56</v>
      </c>
      <c r="BP32">
        <v>1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0.56</v>
      </c>
      <c r="BW32">
        <v>1</v>
      </c>
      <c r="CX32">
        <f>Y32*Source!I30</f>
        <v>0.005600000000000001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ht="12.75">
      <c r="A33">
        <f>ROW(Source!A30)</f>
        <v>30</v>
      </c>
      <c r="B33">
        <v>26917020</v>
      </c>
      <c r="C33">
        <v>26918766</v>
      </c>
      <c r="D33">
        <v>21330172</v>
      </c>
      <c r="E33">
        <v>1</v>
      </c>
      <c r="F33">
        <v>1</v>
      </c>
      <c r="G33">
        <v>1</v>
      </c>
      <c r="H33">
        <v>2</v>
      </c>
      <c r="I33" t="s">
        <v>244</v>
      </c>
      <c r="J33" t="s">
        <v>290</v>
      </c>
      <c r="K33" t="s">
        <v>246</v>
      </c>
      <c r="L33">
        <v>1368</v>
      </c>
      <c r="N33">
        <v>1011</v>
      </c>
      <c r="O33" t="s">
        <v>238</v>
      </c>
      <c r="P33" t="s">
        <v>238</v>
      </c>
      <c r="Q33">
        <v>1</v>
      </c>
      <c r="W33">
        <v>0</v>
      </c>
      <c r="X33">
        <v>-1365545508</v>
      </c>
      <c r="Y33">
        <v>0.56</v>
      </c>
      <c r="AA33">
        <v>0</v>
      </c>
      <c r="AB33">
        <v>258.94</v>
      </c>
      <c r="AC33">
        <v>0</v>
      </c>
      <c r="AD33">
        <v>0</v>
      </c>
      <c r="AE33">
        <v>0</v>
      </c>
      <c r="AF33">
        <v>258.94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0</v>
      </c>
      <c r="AP33">
        <v>1</v>
      </c>
      <c r="AQ33">
        <v>1</v>
      </c>
      <c r="AR33">
        <v>0</v>
      </c>
      <c r="AT33">
        <v>0.56</v>
      </c>
      <c r="AV33">
        <v>0</v>
      </c>
      <c r="AW33">
        <v>2</v>
      </c>
      <c r="AX33">
        <v>26918774</v>
      </c>
      <c r="AY33">
        <v>2</v>
      </c>
      <c r="AZ33">
        <v>98304</v>
      </c>
      <c r="BA33">
        <v>37</v>
      </c>
      <c r="BB33">
        <v>1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145.0064</v>
      </c>
      <c r="BL33">
        <v>0</v>
      </c>
      <c r="BM33">
        <v>0</v>
      </c>
      <c r="BN33">
        <v>0</v>
      </c>
      <c r="BO33">
        <v>0</v>
      </c>
      <c r="BP33">
        <v>1</v>
      </c>
      <c r="BQ33">
        <v>0</v>
      </c>
      <c r="BR33">
        <v>145.0064</v>
      </c>
      <c r="BS33">
        <v>0</v>
      </c>
      <c r="BT33">
        <v>0</v>
      </c>
      <c r="BU33">
        <v>0</v>
      </c>
      <c r="BV33">
        <v>0</v>
      </c>
      <c r="BW33">
        <v>1</v>
      </c>
      <c r="CX33">
        <f>Y33*Source!I30</f>
        <v>0.005600000000000001</v>
      </c>
      <c r="CY33">
        <f>AB33</f>
        <v>258.94</v>
      </c>
      <c r="CZ33">
        <f>AF33</f>
        <v>258.94</v>
      </c>
      <c r="DA33">
        <f>AJ33</f>
        <v>1</v>
      </c>
      <c r="DB33">
        <v>0</v>
      </c>
    </row>
    <row r="34" spans="1:106" ht="12.75">
      <c r="A34">
        <f>ROW(Source!A30)</f>
        <v>30</v>
      </c>
      <c r="B34">
        <v>26917020</v>
      </c>
      <c r="C34">
        <v>26918766</v>
      </c>
      <c r="D34">
        <v>21280770</v>
      </c>
      <c r="E34">
        <v>1</v>
      </c>
      <c r="F34">
        <v>1</v>
      </c>
      <c r="G34">
        <v>1</v>
      </c>
      <c r="H34">
        <v>2</v>
      </c>
      <c r="I34" t="s">
        <v>277</v>
      </c>
      <c r="J34" t="s">
        <v>291</v>
      </c>
      <c r="K34" t="s">
        <v>279</v>
      </c>
      <c r="L34">
        <v>1368</v>
      </c>
      <c r="N34">
        <v>1011</v>
      </c>
      <c r="O34" t="s">
        <v>238</v>
      </c>
      <c r="P34" t="s">
        <v>238</v>
      </c>
      <c r="Q34">
        <v>1</v>
      </c>
      <c r="W34">
        <v>0</v>
      </c>
      <c r="X34">
        <v>-516600551</v>
      </c>
      <c r="Y34">
        <v>0.56</v>
      </c>
      <c r="AA34">
        <v>0</v>
      </c>
      <c r="AB34">
        <v>698.33</v>
      </c>
      <c r="AC34">
        <v>0</v>
      </c>
      <c r="AD34">
        <v>0</v>
      </c>
      <c r="AE34">
        <v>0</v>
      </c>
      <c r="AF34">
        <v>698.33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0</v>
      </c>
      <c r="AP34">
        <v>1</v>
      </c>
      <c r="AQ34">
        <v>1</v>
      </c>
      <c r="AR34">
        <v>0</v>
      </c>
      <c r="AT34">
        <v>0.56</v>
      </c>
      <c r="AV34">
        <v>0</v>
      </c>
      <c r="AW34">
        <v>2</v>
      </c>
      <c r="AX34">
        <v>26918775</v>
      </c>
      <c r="AY34">
        <v>2</v>
      </c>
      <c r="AZ34">
        <v>98304</v>
      </c>
      <c r="BA34">
        <v>38</v>
      </c>
      <c r="BB34">
        <v>1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391.06480000000005</v>
      </c>
      <c r="BL34">
        <v>0</v>
      </c>
      <c r="BM34">
        <v>0</v>
      </c>
      <c r="BN34">
        <v>0</v>
      </c>
      <c r="BO34">
        <v>0</v>
      </c>
      <c r="BP34">
        <v>1</v>
      </c>
      <c r="BQ34">
        <v>0</v>
      </c>
      <c r="BR34">
        <v>391.06480000000005</v>
      </c>
      <c r="BS34">
        <v>0</v>
      </c>
      <c r="BT34">
        <v>0</v>
      </c>
      <c r="BU34">
        <v>0</v>
      </c>
      <c r="BV34">
        <v>0</v>
      </c>
      <c r="BW34">
        <v>1</v>
      </c>
      <c r="CX34">
        <f>Y34*Source!I30</f>
        <v>0.005600000000000001</v>
      </c>
      <c r="CY34">
        <f>AB34</f>
        <v>698.33</v>
      </c>
      <c r="CZ34">
        <f>AF34</f>
        <v>698.33</v>
      </c>
      <c r="DA34">
        <f>AJ34</f>
        <v>1</v>
      </c>
      <c r="DB34">
        <v>0</v>
      </c>
    </row>
    <row r="35" spans="1:106" ht="12.75">
      <c r="A35">
        <f>ROW(Source!A30)</f>
        <v>30</v>
      </c>
      <c r="B35">
        <v>26917020</v>
      </c>
      <c r="C35">
        <v>26918766</v>
      </c>
      <c r="D35">
        <v>21364636</v>
      </c>
      <c r="E35">
        <v>1</v>
      </c>
      <c r="F35">
        <v>1</v>
      </c>
      <c r="G35">
        <v>1</v>
      </c>
      <c r="H35">
        <v>3</v>
      </c>
      <c r="I35" t="s">
        <v>292</v>
      </c>
      <c r="J35" t="s">
        <v>293</v>
      </c>
      <c r="K35" t="s">
        <v>294</v>
      </c>
      <c r="L35">
        <v>1035</v>
      </c>
      <c r="N35">
        <v>1013</v>
      </c>
      <c r="O35" t="s">
        <v>295</v>
      </c>
      <c r="P35" t="s">
        <v>295</v>
      </c>
      <c r="Q35">
        <v>1</v>
      </c>
      <c r="W35">
        <v>0</v>
      </c>
      <c r="X35">
        <v>-1462527913</v>
      </c>
      <c r="Y35">
        <v>100</v>
      </c>
      <c r="AA35">
        <v>200</v>
      </c>
      <c r="AB35">
        <v>0</v>
      </c>
      <c r="AC35">
        <v>0</v>
      </c>
      <c r="AD35">
        <v>0</v>
      </c>
      <c r="AE35">
        <v>200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0</v>
      </c>
      <c r="AP35">
        <v>0</v>
      </c>
      <c r="AQ35">
        <v>1</v>
      </c>
      <c r="AR35">
        <v>0</v>
      </c>
      <c r="AT35">
        <v>100</v>
      </c>
      <c r="AV35">
        <v>0</v>
      </c>
      <c r="AW35">
        <v>2</v>
      </c>
      <c r="AX35">
        <v>26918778</v>
      </c>
      <c r="AY35">
        <v>2</v>
      </c>
      <c r="AZ35">
        <v>16384</v>
      </c>
      <c r="BA35">
        <v>41</v>
      </c>
      <c r="BB35">
        <v>1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20000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1</v>
      </c>
      <c r="BQ35">
        <v>20000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1</v>
      </c>
      <c r="CX35">
        <f>Y35*Source!I30</f>
        <v>1</v>
      </c>
      <c r="CY35">
        <f>AA35</f>
        <v>200</v>
      </c>
      <c r="CZ35">
        <f>AE35</f>
        <v>200</v>
      </c>
      <c r="DA35">
        <f>AI35</f>
        <v>1</v>
      </c>
      <c r="DB35">
        <v>0</v>
      </c>
    </row>
    <row r="36" spans="1:106" ht="12.75">
      <c r="A36">
        <f>ROW(Source!A31)</f>
        <v>31</v>
      </c>
      <c r="B36">
        <v>26917020</v>
      </c>
      <c r="C36">
        <v>27155009</v>
      </c>
      <c r="D36">
        <v>9416110</v>
      </c>
      <c r="E36">
        <v>1</v>
      </c>
      <c r="F36">
        <v>1</v>
      </c>
      <c r="G36">
        <v>1</v>
      </c>
      <c r="H36">
        <v>1</v>
      </c>
      <c r="I36" t="s">
        <v>296</v>
      </c>
      <c r="K36" t="s">
        <v>297</v>
      </c>
      <c r="L36">
        <v>1369</v>
      </c>
      <c r="N36">
        <v>1013</v>
      </c>
      <c r="O36" t="s">
        <v>232</v>
      </c>
      <c r="P36" t="s">
        <v>232</v>
      </c>
      <c r="Q36">
        <v>1</v>
      </c>
      <c r="W36">
        <v>0</v>
      </c>
      <c r="X36">
        <v>2103360120</v>
      </c>
      <c r="Y36">
        <v>5.092199999999999</v>
      </c>
      <c r="AA36">
        <v>0</v>
      </c>
      <c r="AB36">
        <v>0</v>
      </c>
      <c r="AC36">
        <v>0</v>
      </c>
      <c r="AD36">
        <v>135.36</v>
      </c>
      <c r="AE36">
        <v>0</v>
      </c>
      <c r="AF36">
        <v>0</v>
      </c>
      <c r="AG36">
        <v>0</v>
      </c>
      <c r="AH36">
        <v>135.36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0</v>
      </c>
      <c r="AP36">
        <v>1</v>
      </c>
      <c r="AQ36">
        <v>1</v>
      </c>
      <c r="AR36">
        <v>0</v>
      </c>
      <c r="AT36">
        <v>3.69</v>
      </c>
      <c r="AU36" t="s">
        <v>80</v>
      </c>
      <c r="AV36">
        <v>1</v>
      </c>
      <c r="AW36">
        <v>2</v>
      </c>
      <c r="AX36">
        <v>27155016</v>
      </c>
      <c r="AY36">
        <v>2</v>
      </c>
      <c r="AZ36">
        <v>131072</v>
      </c>
      <c r="BA36">
        <v>42</v>
      </c>
      <c r="BB36">
        <v>1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499.4784</v>
      </c>
      <c r="BN36">
        <v>3.69</v>
      </c>
      <c r="BO36">
        <v>0</v>
      </c>
      <c r="BP36">
        <v>1</v>
      </c>
      <c r="BQ36">
        <v>0</v>
      </c>
      <c r="BR36">
        <v>0</v>
      </c>
      <c r="BS36">
        <v>0</v>
      </c>
      <c r="BT36">
        <v>689.2801919999999</v>
      </c>
      <c r="BU36">
        <v>5.092199999999999</v>
      </c>
      <c r="BV36">
        <v>0</v>
      </c>
      <c r="BW36">
        <v>1</v>
      </c>
      <c r="CX36">
        <f>Y36*Source!I31</f>
        <v>8.790664859999998</v>
      </c>
      <c r="CY36">
        <f>AD36</f>
        <v>135.36</v>
      </c>
      <c r="CZ36">
        <f>AH36</f>
        <v>135.36</v>
      </c>
      <c r="DA36">
        <f>AL36</f>
        <v>1</v>
      </c>
      <c r="DB36">
        <v>0</v>
      </c>
    </row>
    <row r="37" spans="1:106" ht="12.75">
      <c r="A37">
        <f>ROW(Source!A31)</f>
        <v>31</v>
      </c>
      <c r="B37">
        <v>26917020</v>
      </c>
      <c r="C37">
        <v>27155009</v>
      </c>
      <c r="D37">
        <v>121548</v>
      </c>
      <c r="E37">
        <v>1</v>
      </c>
      <c r="F37">
        <v>1</v>
      </c>
      <c r="G37">
        <v>1</v>
      </c>
      <c r="H37">
        <v>1</v>
      </c>
      <c r="I37" t="s">
        <v>23</v>
      </c>
      <c r="K37" t="s">
        <v>233</v>
      </c>
      <c r="L37">
        <v>608254</v>
      </c>
      <c r="N37">
        <v>1013</v>
      </c>
      <c r="O37" t="s">
        <v>234</v>
      </c>
      <c r="P37" t="s">
        <v>234</v>
      </c>
      <c r="Q37">
        <v>1</v>
      </c>
      <c r="W37">
        <v>0</v>
      </c>
      <c r="X37">
        <v>-185737400</v>
      </c>
      <c r="Y37">
        <v>0.015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0</v>
      </c>
      <c r="AP37">
        <v>1</v>
      </c>
      <c r="AQ37">
        <v>1</v>
      </c>
      <c r="AR37">
        <v>0</v>
      </c>
      <c r="AT37">
        <v>0.01</v>
      </c>
      <c r="AU37" t="s">
        <v>79</v>
      </c>
      <c r="AV37">
        <v>2</v>
      </c>
      <c r="AW37">
        <v>2</v>
      </c>
      <c r="AX37">
        <v>27155017</v>
      </c>
      <c r="AY37">
        <v>1</v>
      </c>
      <c r="AZ37">
        <v>0</v>
      </c>
      <c r="BA37">
        <v>43</v>
      </c>
      <c r="BB37">
        <v>1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0.01</v>
      </c>
      <c r="BP37">
        <v>1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0.015</v>
      </c>
      <c r="BW37">
        <v>1</v>
      </c>
      <c r="CX37">
        <f>Y37*Source!I31</f>
        <v>0.025894499999999997</v>
      </c>
      <c r="CY37">
        <f>AD37</f>
        <v>0</v>
      </c>
      <c r="CZ37">
        <f>AH37</f>
        <v>0</v>
      </c>
      <c r="DA37">
        <f>AL37</f>
        <v>1</v>
      </c>
      <c r="DB37">
        <v>0</v>
      </c>
    </row>
    <row r="38" spans="1:106" ht="12.75">
      <c r="A38">
        <f>ROW(Source!A31)</f>
        <v>31</v>
      </c>
      <c r="B38">
        <v>26917020</v>
      </c>
      <c r="C38">
        <v>27155009</v>
      </c>
      <c r="D38">
        <v>24327143</v>
      </c>
      <c r="E38">
        <v>1</v>
      </c>
      <c r="F38">
        <v>1</v>
      </c>
      <c r="G38">
        <v>1</v>
      </c>
      <c r="H38">
        <v>2</v>
      </c>
      <c r="I38" t="s">
        <v>298</v>
      </c>
      <c r="J38" t="s">
        <v>299</v>
      </c>
      <c r="K38" t="s">
        <v>300</v>
      </c>
      <c r="L38">
        <v>1368</v>
      </c>
      <c r="N38">
        <v>1011</v>
      </c>
      <c r="O38" t="s">
        <v>238</v>
      </c>
      <c r="P38" t="s">
        <v>238</v>
      </c>
      <c r="Q38">
        <v>1</v>
      </c>
      <c r="W38">
        <v>0</v>
      </c>
      <c r="X38">
        <v>1019388412</v>
      </c>
      <c r="Y38">
        <v>0.015</v>
      </c>
      <c r="AA38">
        <v>0</v>
      </c>
      <c r="AB38">
        <v>225.93</v>
      </c>
      <c r="AC38">
        <v>0</v>
      </c>
      <c r="AD38">
        <v>0</v>
      </c>
      <c r="AE38">
        <v>0</v>
      </c>
      <c r="AF38">
        <v>225.93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0</v>
      </c>
      <c r="AP38">
        <v>1</v>
      </c>
      <c r="AQ38">
        <v>1</v>
      </c>
      <c r="AR38">
        <v>0</v>
      </c>
      <c r="AT38">
        <v>0.01</v>
      </c>
      <c r="AU38" t="s">
        <v>79</v>
      </c>
      <c r="AV38">
        <v>0</v>
      </c>
      <c r="AW38">
        <v>2</v>
      </c>
      <c r="AX38">
        <v>27155018</v>
      </c>
      <c r="AY38">
        <v>2</v>
      </c>
      <c r="AZ38">
        <v>98304</v>
      </c>
      <c r="BA38">
        <v>44</v>
      </c>
      <c r="BB38">
        <v>1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2.2593</v>
      </c>
      <c r="BL38">
        <v>0</v>
      </c>
      <c r="BM38">
        <v>0</v>
      </c>
      <c r="BN38">
        <v>0</v>
      </c>
      <c r="BO38">
        <v>0</v>
      </c>
      <c r="BP38">
        <v>1</v>
      </c>
      <c r="BQ38">
        <v>0</v>
      </c>
      <c r="BR38">
        <v>3.38895</v>
      </c>
      <c r="BS38">
        <v>0</v>
      </c>
      <c r="BT38">
        <v>0</v>
      </c>
      <c r="BU38">
        <v>0</v>
      </c>
      <c r="BV38">
        <v>0</v>
      </c>
      <c r="BW38">
        <v>1</v>
      </c>
      <c r="CX38">
        <f>Y38*Source!I31</f>
        <v>0.025894499999999997</v>
      </c>
      <c r="CY38">
        <f>AB38</f>
        <v>225.93</v>
      </c>
      <c r="CZ38">
        <f>AF38</f>
        <v>225.93</v>
      </c>
      <c r="DA38">
        <f>AJ38</f>
        <v>1</v>
      </c>
      <c r="DB38">
        <v>0</v>
      </c>
    </row>
    <row r="39" spans="1:106" ht="12.75">
      <c r="A39">
        <f>ROW(Source!A31)</f>
        <v>31</v>
      </c>
      <c r="B39">
        <v>26917020</v>
      </c>
      <c r="C39">
        <v>27155009</v>
      </c>
      <c r="D39">
        <v>24297430</v>
      </c>
      <c r="E39">
        <v>1</v>
      </c>
      <c r="F39">
        <v>1</v>
      </c>
      <c r="G39">
        <v>1</v>
      </c>
      <c r="H39">
        <v>2</v>
      </c>
      <c r="I39" t="s">
        <v>301</v>
      </c>
      <c r="J39" t="s">
        <v>302</v>
      </c>
      <c r="K39" t="s">
        <v>303</v>
      </c>
      <c r="L39">
        <v>1368</v>
      </c>
      <c r="N39">
        <v>1011</v>
      </c>
      <c r="O39" t="s">
        <v>238</v>
      </c>
      <c r="P39" t="s">
        <v>238</v>
      </c>
      <c r="Q39">
        <v>1</v>
      </c>
      <c r="W39">
        <v>0</v>
      </c>
      <c r="X39">
        <v>2083617007</v>
      </c>
      <c r="Y39">
        <v>4.2299999999999995</v>
      </c>
      <c r="AA39">
        <v>0</v>
      </c>
      <c r="AB39">
        <v>28.84</v>
      </c>
      <c r="AC39">
        <v>0</v>
      </c>
      <c r="AD39">
        <v>0</v>
      </c>
      <c r="AE39">
        <v>0</v>
      </c>
      <c r="AF39">
        <v>28.84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0</v>
      </c>
      <c r="AP39">
        <v>1</v>
      </c>
      <c r="AQ39">
        <v>1</v>
      </c>
      <c r="AR39">
        <v>0</v>
      </c>
      <c r="AT39">
        <v>2.82</v>
      </c>
      <c r="AU39" t="s">
        <v>79</v>
      </c>
      <c r="AV39">
        <v>0</v>
      </c>
      <c r="AW39">
        <v>2</v>
      </c>
      <c r="AX39">
        <v>27155019</v>
      </c>
      <c r="AY39">
        <v>2</v>
      </c>
      <c r="AZ39">
        <v>32768</v>
      </c>
      <c r="BA39">
        <v>45</v>
      </c>
      <c r="BB39">
        <v>1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81.3288</v>
      </c>
      <c r="BL39">
        <v>0</v>
      </c>
      <c r="BM39">
        <v>0</v>
      </c>
      <c r="BN39">
        <v>0</v>
      </c>
      <c r="BO39">
        <v>0</v>
      </c>
      <c r="BP39">
        <v>1</v>
      </c>
      <c r="BQ39">
        <v>0</v>
      </c>
      <c r="BR39">
        <v>121.99319999999999</v>
      </c>
      <c r="BS39">
        <v>0</v>
      </c>
      <c r="BT39">
        <v>0</v>
      </c>
      <c r="BU39">
        <v>0</v>
      </c>
      <c r="BV39">
        <v>0</v>
      </c>
      <c r="BW39">
        <v>1</v>
      </c>
      <c r="CX39">
        <f>Y39*Source!I31</f>
        <v>7.302248999999999</v>
      </c>
      <c r="CY39">
        <f>AB39</f>
        <v>28.84</v>
      </c>
      <c r="CZ39">
        <f>AF39</f>
        <v>28.84</v>
      </c>
      <c r="DA39">
        <f>AJ39</f>
        <v>1</v>
      </c>
      <c r="DB39">
        <v>0</v>
      </c>
    </row>
    <row r="40" spans="1:106" ht="12.75">
      <c r="A40">
        <f>ROW(Source!A31)</f>
        <v>31</v>
      </c>
      <c r="B40">
        <v>26917020</v>
      </c>
      <c r="C40">
        <v>27155009</v>
      </c>
      <c r="D40">
        <v>0</v>
      </c>
      <c r="E40">
        <v>0</v>
      </c>
      <c r="F40">
        <v>1</v>
      </c>
      <c r="G40">
        <v>1</v>
      </c>
      <c r="H40">
        <v>2</v>
      </c>
      <c r="I40" t="s">
        <v>277</v>
      </c>
      <c r="K40" t="s">
        <v>279</v>
      </c>
      <c r="L40">
        <v>1367</v>
      </c>
      <c r="N40">
        <v>1011</v>
      </c>
      <c r="O40" t="s">
        <v>304</v>
      </c>
      <c r="P40" t="s">
        <v>304</v>
      </c>
      <c r="Q40">
        <v>1</v>
      </c>
      <c r="W40">
        <v>0</v>
      </c>
      <c r="X40">
        <v>-855606463</v>
      </c>
      <c r="Y40">
        <v>0.06</v>
      </c>
      <c r="AA40">
        <v>0</v>
      </c>
      <c r="AB40">
        <v>698.33</v>
      </c>
      <c r="AC40">
        <v>0</v>
      </c>
      <c r="AD40">
        <v>0</v>
      </c>
      <c r="AE40">
        <v>0</v>
      </c>
      <c r="AF40">
        <v>698.33</v>
      </c>
      <c r="AG40">
        <v>0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0</v>
      </c>
      <c r="AP40">
        <v>2</v>
      </c>
      <c r="AQ40">
        <v>1</v>
      </c>
      <c r="AR40">
        <v>0</v>
      </c>
      <c r="AT40">
        <v>0.04</v>
      </c>
      <c r="AU40" t="s">
        <v>79</v>
      </c>
      <c r="AV40">
        <v>0</v>
      </c>
      <c r="AW40">
        <v>2</v>
      </c>
      <c r="AX40">
        <v>27155020</v>
      </c>
      <c r="AY40">
        <v>2</v>
      </c>
      <c r="AZ40">
        <v>98304</v>
      </c>
      <c r="BA40">
        <v>46</v>
      </c>
      <c r="BB40">
        <v>1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27.933200000000003</v>
      </c>
      <c r="BL40">
        <v>0</v>
      </c>
      <c r="BM40">
        <v>0</v>
      </c>
      <c r="BN40">
        <v>0</v>
      </c>
      <c r="BO40">
        <v>0</v>
      </c>
      <c r="BP40">
        <v>1</v>
      </c>
      <c r="BQ40">
        <v>0</v>
      </c>
      <c r="BR40">
        <v>41.8998</v>
      </c>
      <c r="BS40">
        <v>0</v>
      </c>
      <c r="BT40">
        <v>0</v>
      </c>
      <c r="BU40">
        <v>0</v>
      </c>
      <c r="BV40">
        <v>0</v>
      </c>
      <c r="BW40">
        <v>1</v>
      </c>
      <c r="CX40">
        <f>Y40*Source!I31</f>
        <v>0.10357799999999999</v>
      </c>
      <c r="CY40">
        <f>AB40</f>
        <v>698.33</v>
      </c>
      <c r="CZ40">
        <f>AF40</f>
        <v>698.33</v>
      </c>
      <c r="DA40">
        <f>AJ40</f>
        <v>1</v>
      </c>
      <c r="DB40">
        <v>0</v>
      </c>
    </row>
    <row r="41" spans="1:106" ht="12.75">
      <c r="A41">
        <f>ROW(Source!A31)</f>
        <v>31</v>
      </c>
      <c r="B41">
        <v>26917020</v>
      </c>
      <c r="C41">
        <v>27155009</v>
      </c>
      <c r="D41">
        <v>24302728</v>
      </c>
      <c r="E41">
        <v>1</v>
      </c>
      <c r="F41">
        <v>1</v>
      </c>
      <c r="G41">
        <v>1</v>
      </c>
      <c r="H41">
        <v>3</v>
      </c>
      <c r="I41" t="s">
        <v>305</v>
      </c>
      <c r="J41" t="s">
        <v>306</v>
      </c>
      <c r="K41" t="s">
        <v>307</v>
      </c>
      <c r="L41">
        <v>1346</v>
      </c>
      <c r="N41">
        <v>1009</v>
      </c>
      <c r="O41" t="s">
        <v>308</v>
      </c>
      <c r="P41" t="s">
        <v>308</v>
      </c>
      <c r="Q41">
        <v>1</v>
      </c>
      <c r="W41">
        <v>0</v>
      </c>
      <c r="X41">
        <v>-294913766</v>
      </c>
      <c r="Y41">
        <v>1</v>
      </c>
      <c r="AA41">
        <v>52.82</v>
      </c>
      <c r="AB41">
        <v>0</v>
      </c>
      <c r="AC41">
        <v>0</v>
      </c>
      <c r="AD41">
        <v>0</v>
      </c>
      <c r="AE41">
        <v>52.82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0</v>
      </c>
      <c r="AP41">
        <v>1</v>
      </c>
      <c r="AQ41">
        <v>1</v>
      </c>
      <c r="AR41">
        <v>0</v>
      </c>
      <c r="AT41">
        <v>1</v>
      </c>
      <c r="AV41">
        <v>0</v>
      </c>
      <c r="AW41">
        <v>2</v>
      </c>
      <c r="AX41">
        <v>27155021</v>
      </c>
      <c r="AY41">
        <v>2</v>
      </c>
      <c r="AZ41">
        <v>16384</v>
      </c>
      <c r="BA41">
        <v>47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52.82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1</v>
      </c>
      <c r="BQ41">
        <v>52.82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1</v>
      </c>
      <c r="CX41">
        <f>Y41*Source!I31</f>
        <v>1.7263</v>
      </c>
      <c r="CY41">
        <f>AA41</f>
        <v>52.82</v>
      </c>
      <c r="CZ41">
        <f>AE41</f>
        <v>52.82</v>
      </c>
      <c r="DA41">
        <f>AI41</f>
        <v>1</v>
      </c>
      <c r="DB41">
        <v>0</v>
      </c>
    </row>
    <row r="42" spans="1:106" ht="12.75">
      <c r="A42">
        <f>ROW(Source!A31)</f>
        <v>31</v>
      </c>
      <c r="B42">
        <v>26917020</v>
      </c>
      <c r="C42">
        <v>27155009</v>
      </c>
      <c r="D42">
        <v>24330157</v>
      </c>
      <c r="E42">
        <v>1</v>
      </c>
      <c r="F42">
        <v>1</v>
      </c>
      <c r="G42">
        <v>1</v>
      </c>
      <c r="H42">
        <v>3</v>
      </c>
      <c r="I42" t="s">
        <v>309</v>
      </c>
      <c r="J42" t="s">
        <v>310</v>
      </c>
      <c r="K42" t="s">
        <v>311</v>
      </c>
      <c r="L42">
        <v>1346</v>
      </c>
      <c r="N42">
        <v>1009</v>
      </c>
      <c r="O42" t="s">
        <v>308</v>
      </c>
      <c r="P42" t="s">
        <v>308</v>
      </c>
      <c r="Q42">
        <v>1</v>
      </c>
      <c r="W42">
        <v>0</v>
      </c>
      <c r="X42">
        <v>-1249515419</v>
      </c>
      <c r="Y42">
        <v>13.8</v>
      </c>
      <c r="AA42">
        <v>51.46</v>
      </c>
      <c r="AB42">
        <v>0</v>
      </c>
      <c r="AC42">
        <v>0</v>
      </c>
      <c r="AD42">
        <v>0</v>
      </c>
      <c r="AE42">
        <v>51.46</v>
      </c>
      <c r="AF42">
        <v>0</v>
      </c>
      <c r="AG42">
        <v>0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0</v>
      </c>
      <c r="AP42">
        <v>0</v>
      </c>
      <c r="AQ42">
        <v>1</v>
      </c>
      <c r="AR42">
        <v>0</v>
      </c>
      <c r="AT42">
        <v>13.8</v>
      </c>
      <c r="AV42">
        <v>0</v>
      </c>
      <c r="AW42">
        <v>2</v>
      </c>
      <c r="AX42">
        <v>27155022</v>
      </c>
      <c r="AY42">
        <v>2</v>
      </c>
      <c r="AZ42">
        <v>16384</v>
      </c>
      <c r="BA42">
        <v>48</v>
      </c>
      <c r="BB42">
        <v>1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710.148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1</v>
      </c>
      <c r="BQ42">
        <v>710.148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1</v>
      </c>
      <c r="CX42">
        <f>Y42*Source!I31</f>
        <v>23.82294</v>
      </c>
      <c r="CY42">
        <f>AA42</f>
        <v>51.46</v>
      </c>
      <c r="CZ42">
        <f>AE42</f>
        <v>51.46</v>
      </c>
      <c r="DA42">
        <f>AI42</f>
        <v>1</v>
      </c>
      <c r="DB42">
        <v>0</v>
      </c>
    </row>
    <row r="43" spans="1:106" ht="12.75">
      <c r="A43">
        <f>ROW(Source!A32)</f>
        <v>32</v>
      </c>
      <c r="B43">
        <v>26917020</v>
      </c>
      <c r="C43">
        <v>27149408</v>
      </c>
      <c r="D43">
        <v>9417175</v>
      </c>
      <c r="E43">
        <v>1</v>
      </c>
      <c r="F43">
        <v>1</v>
      </c>
      <c r="G43">
        <v>1</v>
      </c>
      <c r="H43">
        <v>1</v>
      </c>
      <c r="I43" t="s">
        <v>312</v>
      </c>
      <c r="K43" t="s">
        <v>313</v>
      </c>
      <c r="L43">
        <v>1369</v>
      </c>
      <c r="N43">
        <v>1013</v>
      </c>
      <c r="O43" t="s">
        <v>232</v>
      </c>
      <c r="P43" t="s">
        <v>232</v>
      </c>
      <c r="Q43">
        <v>1</v>
      </c>
      <c r="W43">
        <v>0</v>
      </c>
      <c r="X43">
        <v>-708165982</v>
      </c>
      <c r="Y43">
        <v>7.0518</v>
      </c>
      <c r="AA43">
        <v>0</v>
      </c>
      <c r="AB43">
        <v>0</v>
      </c>
      <c r="AC43">
        <v>0</v>
      </c>
      <c r="AD43">
        <v>148.4</v>
      </c>
      <c r="AE43">
        <v>0</v>
      </c>
      <c r="AF43">
        <v>0</v>
      </c>
      <c r="AG43">
        <v>0</v>
      </c>
      <c r="AH43">
        <v>148.4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0</v>
      </c>
      <c r="AP43">
        <v>1</v>
      </c>
      <c r="AQ43">
        <v>1</v>
      </c>
      <c r="AR43">
        <v>0</v>
      </c>
      <c r="AT43">
        <v>5.11</v>
      </c>
      <c r="AU43" t="s">
        <v>38</v>
      </c>
      <c r="AV43">
        <v>1</v>
      </c>
      <c r="AW43">
        <v>2</v>
      </c>
      <c r="AX43">
        <v>27149418</v>
      </c>
      <c r="AY43">
        <v>2</v>
      </c>
      <c r="AZ43">
        <v>131072</v>
      </c>
      <c r="BA43">
        <v>50</v>
      </c>
      <c r="BB43">
        <v>1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758.3240000000001</v>
      </c>
      <c r="BN43">
        <v>5.11</v>
      </c>
      <c r="BO43">
        <v>0</v>
      </c>
      <c r="BP43">
        <v>1</v>
      </c>
      <c r="BQ43">
        <v>0</v>
      </c>
      <c r="BR43">
        <v>0</v>
      </c>
      <c r="BS43">
        <v>0</v>
      </c>
      <c r="BT43">
        <v>1046.48712</v>
      </c>
      <c r="BU43">
        <v>7.0518</v>
      </c>
      <c r="BV43">
        <v>0</v>
      </c>
      <c r="BW43">
        <v>1</v>
      </c>
      <c r="CX43">
        <f>Y43*Source!I32</f>
        <v>1217.352234</v>
      </c>
      <c r="CY43">
        <f>AD43</f>
        <v>148.4</v>
      </c>
      <c r="CZ43">
        <f>AH43</f>
        <v>148.4</v>
      </c>
      <c r="DA43">
        <f>AL43</f>
        <v>1</v>
      </c>
      <c r="DB43">
        <v>0</v>
      </c>
    </row>
    <row r="44" spans="1:106" ht="12.75">
      <c r="A44">
        <f>ROW(Source!A32)</f>
        <v>32</v>
      </c>
      <c r="B44">
        <v>26917020</v>
      </c>
      <c r="C44">
        <v>27149408</v>
      </c>
      <c r="D44">
        <v>121548</v>
      </c>
      <c r="E44">
        <v>1</v>
      </c>
      <c r="F44">
        <v>1</v>
      </c>
      <c r="G44">
        <v>1</v>
      </c>
      <c r="H44">
        <v>1</v>
      </c>
      <c r="I44" t="s">
        <v>23</v>
      </c>
      <c r="K44" t="s">
        <v>233</v>
      </c>
      <c r="L44">
        <v>608254</v>
      </c>
      <c r="N44">
        <v>1013</v>
      </c>
      <c r="O44" t="s">
        <v>234</v>
      </c>
      <c r="P44" t="s">
        <v>234</v>
      </c>
      <c r="Q44">
        <v>1</v>
      </c>
      <c r="W44">
        <v>0</v>
      </c>
      <c r="X44">
        <v>-185737400</v>
      </c>
      <c r="Y44">
        <v>0.015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0</v>
      </c>
      <c r="AP44">
        <v>1</v>
      </c>
      <c r="AQ44">
        <v>1</v>
      </c>
      <c r="AR44">
        <v>0</v>
      </c>
      <c r="AT44">
        <v>0.01</v>
      </c>
      <c r="AU44" t="s">
        <v>37</v>
      </c>
      <c r="AV44">
        <v>2</v>
      </c>
      <c r="AW44">
        <v>2</v>
      </c>
      <c r="AX44">
        <v>27149419</v>
      </c>
      <c r="AY44">
        <v>1</v>
      </c>
      <c r="AZ44">
        <v>0</v>
      </c>
      <c r="BA44">
        <v>51</v>
      </c>
      <c r="BB44">
        <v>1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0.01</v>
      </c>
      <c r="BP44">
        <v>1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0.015</v>
      </c>
      <c r="BW44">
        <v>1</v>
      </c>
      <c r="CX44">
        <f>Y44*Source!I32</f>
        <v>2.58945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ht="12.75">
      <c r="A45">
        <f>ROW(Source!A32)</f>
        <v>32</v>
      </c>
      <c r="B45">
        <v>26917020</v>
      </c>
      <c r="C45">
        <v>27149408</v>
      </c>
      <c r="D45">
        <v>24265924</v>
      </c>
      <c r="E45">
        <v>1</v>
      </c>
      <c r="F45">
        <v>1</v>
      </c>
      <c r="G45">
        <v>1</v>
      </c>
      <c r="H45">
        <v>2</v>
      </c>
      <c r="I45" t="s">
        <v>314</v>
      </c>
      <c r="J45" t="s">
        <v>315</v>
      </c>
      <c r="K45" t="s">
        <v>316</v>
      </c>
      <c r="L45">
        <v>1368</v>
      </c>
      <c r="N45">
        <v>1011</v>
      </c>
      <c r="O45" t="s">
        <v>238</v>
      </c>
      <c r="P45" t="s">
        <v>238</v>
      </c>
      <c r="Q45">
        <v>1</v>
      </c>
      <c r="W45">
        <v>0</v>
      </c>
      <c r="X45">
        <v>2138795948</v>
      </c>
      <c r="Y45">
        <v>0.015</v>
      </c>
      <c r="AA45">
        <v>0</v>
      </c>
      <c r="AB45">
        <v>492.75</v>
      </c>
      <c r="AC45">
        <v>0</v>
      </c>
      <c r="AD45">
        <v>0</v>
      </c>
      <c r="AE45">
        <v>0</v>
      </c>
      <c r="AF45">
        <v>492.75</v>
      </c>
      <c r="AG45">
        <v>0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0</v>
      </c>
      <c r="AP45">
        <v>1</v>
      </c>
      <c r="AQ45">
        <v>1</v>
      </c>
      <c r="AR45">
        <v>0</v>
      </c>
      <c r="AT45">
        <v>0.01</v>
      </c>
      <c r="AU45" t="s">
        <v>37</v>
      </c>
      <c r="AV45">
        <v>0</v>
      </c>
      <c r="AW45">
        <v>2</v>
      </c>
      <c r="AX45">
        <v>27149420</v>
      </c>
      <c r="AY45">
        <v>2</v>
      </c>
      <c r="AZ45">
        <v>98304</v>
      </c>
      <c r="BA45">
        <v>52</v>
      </c>
      <c r="BB45">
        <v>1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4.9275</v>
      </c>
      <c r="BL45">
        <v>0</v>
      </c>
      <c r="BM45">
        <v>0</v>
      </c>
      <c r="BN45">
        <v>0</v>
      </c>
      <c r="BO45">
        <v>0</v>
      </c>
      <c r="BP45">
        <v>1</v>
      </c>
      <c r="BQ45">
        <v>0</v>
      </c>
      <c r="BR45">
        <v>7.391249999999999</v>
      </c>
      <c r="BS45">
        <v>0</v>
      </c>
      <c r="BT45">
        <v>0</v>
      </c>
      <c r="BU45">
        <v>0</v>
      </c>
      <c r="BV45">
        <v>0</v>
      </c>
      <c r="BW45">
        <v>1</v>
      </c>
      <c r="CX45">
        <f>Y45*Source!I32</f>
        <v>2.58945</v>
      </c>
      <c r="CY45">
        <f>AB45</f>
        <v>492.75</v>
      </c>
      <c r="CZ45">
        <f>AF45</f>
        <v>492.75</v>
      </c>
      <c r="DA45">
        <f>AJ45</f>
        <v>1</v>
      </c>
      <c r="DB45">
        <v>0</v>
      </c>
    </row>
    <row r="46" spans="1:106" ht="12.75">
      <c r="A46">
        <f>ROW(Source!A32)</f>
        <v>32</v>
      </c>
      <c r="B46">
        <v>26917020</v>
      </c>
      <c r="C46">
        <v>27149408</v>
      </c>
      <c r="D46">
        <v>24316761</v>
      </c>
      <c r="E46">
        <v>1</v>
      </c>
      <c r="F46">
        <v>1</v>
      </c>
      <c r="G46">
        <v>1</v>
      </c>
      <c r="H46">
        <v>2</v>
      </c>
      <c r="I46" t="s">
        <v>317</v>
      </c>
      <c r="J46" t="s">
        <v>318</v>
      </c>
      <c r="K46" t="s">
        <v>319</v>
      </c>
      <c r="L46">
        <v>1368</v>
      </c>
      <c r="N46">
        <v>1011</v>
      </c>
      <c r="O46" t="s">
        <v>238</v>
      </c>
      <c r="P46" t="s">
        <v>238</v>
      </c>
      <c r="Q46">
        <v>1</v>
      </c>
      <c r="W46">
        <v>0</v>
      </c>
      <c r="X46">
        <v>1793891640</v>
      </c>
      <c r="Y46">
        <v>0.015</v>
      </c>
      <c r="AA46">
        <v>0</v>
      </c>
      <c r="AB46">
        <v>6.58</v>
      </c>
      <c r="AC46">
        <v>0</v>
      </c>
      <c r="AD46">
        <v>0</v>
      </c>
      <c r="AE46">
        <v>0</v>
      </c>
      <c r="AF46">
        <v>6.58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0</v>
      </c>
      <c r="AP46">
        <v>1</v>
      </c>
      <c r="AQ46">
        <v>1</v>
      </c>
      <c r="AR46">
        <v>0</v>
      </c>
      <c r="AT46">
        <v>0.01</v>
      </c>
      <c r="AU46" t="s">
        <v>37</v>
      </c>
      <c r="AV46">
        <v>0</v>
      </c>
      <c r="AW46">
        <v>2</v>
      </c>
      <c r="AX46">
        <v>27149421</v>
      </c>
      <c r="AY46">
        <v>2</v>
      </c>
      <c r="AZ46">
        <v>32768</v>
      </c>
      <c r="BA46">
        <v>53</v>
      </c>
      <c r="BB46">
        <v>1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0.0658</v>
      </c>
      <c r="BL46">
        <v>0</v>
      </c>
      <c r="BM46">
        <v>0</v>
      </c>
      <c r="BN46">
        <v>0</v>
      </c>
      <c r="BO46">
        <v>0</v>
      </c>
      <c r="BP46">
        <v>1</v>
      </c>
      <c r="BQ46">
        <v>0</v>
      </c>
      <c r="BR46">
        <v>0.0987</v>
      </c>
      <c r="BS46">
        <v>0</v>
      </c>
      <c r="BT46">
        <v>0</v>
      </c>
      <c r="BU46">
        <v>0</v>
      </c>
      <c r="BV46">
        <v>0</v>
      </c>
      <c r="BW46">
        <v>1</v>
      </c>
      <c r="CX46">
        <f>Y46*Source!I32</f>
        <v>2.58945</v>
      </c>
      <c r="CY46">
        <f>AB46</f>
        <v>6.58</v>
      </c>
      <c r="CZ46">
        <f>AF46</f>
        <v>6.58</v>
      </c>
      <c r="DA46">
        <f>AJ46</f>
        <v>1</v>
      </c>
      <c r="DB46">
        <v>0</v>
      </c>
    </row>
    <row r="47" spans="1:106" ht="12.75">
      <c r="A47">
        <f>ROW(Source!A32)</f>
        <v>32</v>
      </c>
      <c r="B47">
        <v>26917020</v>
      </c>
      <c r="C47">
        <v>27149408</v>
      </c>
      <c r="D47">
        <v>24262102</v>
      </c>
      <c r="E47">
        <v>1</v>
      </c>
      <c r="F47">
        <v>1</v>
      </c>
      <c r="G47">
        <v>1</v>
      </c>
      <c r="H47">
        <v>2</v>
      </c>
      <c r="I47" t="s">
        <v>277</v>
      </c>
      <c r="J47" t="s">
        <v>278</v>
      </c>
      <c r="K47" t="s">
        <v>279</v>
      </c>
      <c r="L47">
        <v>1368</v>
      </c>
      <c r="N47">
        <v>1011</v>
      </c>
      <c r="O47" t="s">
        <v>238</v>
      </c>
      <c r="P47" t="s">
        <v>238</v>
      </c>
      <c r="Q47">
        <v>1</v>
      </c>
      <c r="W47">
        <v>0</v>
      </c>
      <c r="X47">
        <v>596191924</v>
      </c>
      <c r="Y47">
        <v>0.015</v>
      </c>
      <c r="AA47">
        <v>0</v>
      </c>
      <c r="AB47">
        <v>698.33</v>
      </c>
      <c r="AC47">
        <v>0</v>
      </c>
      <c r="AD47">
        <v>0</v>
      </c>
      <c r="AE47">
        <v>0</v>
      </c>
      <c r="AF47">
        <v>698.33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0</v>
      </c>
      <c r="AP47">
        <v>1</v>
      </c>
      <c r="AQ47">
        <v>1</v>
      </c>
      <c r="AR47">
        <v>0</v>
      </c>
      <c r="AT47">
        <v>0.01</v>
      </c>
      <c r="AU47" t="s">
        <v>37</v>
      </c>
      <c r="AV47">
        <v>0</v>
      </c>
      <c r="AW47">
        <v>2</v>
      </c>
      <c r="AX47">
        <v>27149422</v>
      </c>
      <c r="AY47">
        <v>2</v>
      </c>
      <c r="AZ47">
        <v>98304</v>
      </c>
      <c r="BA47">
        <v>54</v>
      </c>
      <c r="BB47">
        <v>1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6.983300000000001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10.47495</v>
      </c>
      <c r="BS47">
        <v>0</v>
      </c>
      <c r="BT47">
        <v>0</v>
      </c>
      <c r="BU47">
        <v>0</v>
      </c>
      <c r="BV47">
        <v>0</v>
      </c>
      <c r="BW47">
        <v>1</v>
      </c>
      <c r="CX47">
        <f>Y47*Source!I32</f>
        <v>2.58945</v>
      </c>
      <c r="CY47">
        <f>AB47</f>
        <v>698.33</v>
      </c>
      <c r="CZ47">
        <f>AF47</f>
        <v>698.33</v>
      </c>
      <c r="DA47">
        <f>AJ47</f>
        <v>1</v>
      </c>
      <c r="DB47">
        <v>0</v>
      </c>
    </row>
    <row r="48" spans="1:106" ht="12.75">
      <c r="A48">
        <f>ROW(Source!A32)</f>
        <v>32</v>
      </c>
      <c r="B48">
        <v>26917020</v>
      </c>
      <c r="C48">
        <v>27149408</v>
      </c>
      <c r="D48">
        <v>24317480</v>
      </c>
      <c r="E48">
        <v>1</v>
      </c>
      <c r="F48">
        <v>1</v>
      </c>
      <c r="G48">
        <v>1</v>
      </c>
      <c r="H48">
        <v>3</v>
      </c>
      <c r="I48" t="s">
        <v>320</v>
      </c>
      <c r="J48" t="s">
        <v>321</v>
      </c>
      <c r="K48" t="s">
        <v>322</v>
      </c>
      <c r="L48">
        <v>1348</v>
      </c>
      <c r="N48">
        <v>1009</v>
      </c>
      <c r="O48" t="s">
        <v>115</v>
      </c>
      <c r="P48" t="s">
        <v>115</v>
      </c>
      <c r="Q48">
        <v>1000</v>
      </c>
      <c r="W48">
        <v>0</v>
      </c>
      <c r="X48">
        <v>-1859422848</v>
      </c>
      <c r="Y48">
        <v>0.00044</v>
      </c>
      <c r="AA48">
        <v>39874.56</v>
      </c>
      <c r="AB48">
        <v>0</v>
      </c>
      <c r="AC48">
        <v>0</v>
      </c>
      <c r="AD48">
        <v>0</v>
      </c>
      <c r="AE48">
        <v>39874.56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0</v>
      </c>
      <c r="AP48">
        <v>0</v>
      </c>
      <c r="AQ48">
        <v>1</v>
      </c>
      <c r="AR48">
        <v>0</v>
      </c>
      <c r="AT48">
        <v>0.00044</v>
      </c>
      <c r="AV48">
        <v>0</v>
      </c>
      <c r="AW48">
        <v>2</v>
      </c>
      <c r="AX48">
        <v>27149423</v>
      </c>
      <c r="AY48">
        <v>2</v>
      </c>
      <c r="AZ48">
        <v>16384</v>
      </c>
      <c r="BA48">
        <v>55</v>
      </c>
      <c r="BB48">
        <v>1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17.5448064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1</v>
      </c>
      <c r="BQ48">
        <v>17.5448064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1</v>
      </c>
      <c r="CX48">
        <f>Y48*Source!I32</f>
        <v>0.0759572</v>
      </c>
      <c r="CY48">
        <f>AA48</f>
        <v>39874.56</v>
      </c>
      <c r="CZ48">
        <f>AE48</f>
        <v>39874.56</v>
      </c>
      <c r="DA48">
        <f>AI48</f>
        <v>1</v>
      </c>
      <c r="DB48">
        <v>0</v>
      </c>
    </row>
    <row r="49" spans="1:106" ht="12.75">
      <c r="A49">
        <f>ROW(Source!A32)</f>
        <v>32</v>
      </c>
      <c r="B49">
        <v>26917020</v>
      </c>
      <c r="C49">
        <v>27149408</v>
      </c>
      <c r="D49">
        <v>24334447</v>
      </c>
      <c r="E49">
        <v>1</v>
      </c>
      <c r="F49">
        <v>1</v>
      </c>
      <c r="G49">
        <v>1</v>
      </c>
      <c r="H49">
        <v>3</v>
      </c>
      <c r="I49" t="s">
        <v>323</v>
      </c>
      <c r="J49" t="s">
        <v>324</v>
      </c>
      <c r="K49" t="s">
        <v>325</v>
      </c>
      <c r="L49">
        <v>1346</v>
      </c>
      <c r="N49">
        <v>1009</v>
      </c>
      <c r="O49" t="s">
        <v>308</v>
      </c>
      <c r="P49" t="s">
        <v>308</v>
      </c>
      <c r="Q49">
        <v>1</v>
      </c>
      <c r="W49">
        <v>0</v>
      </c>
      <c r="X49">
        <v>1375923348</v>
      </c>
      <c r="Y49">
        <v>1.6</v>
      </c>
      <c r="AA49">
        <v>247.12</v>
      </c>
      <c r="AB49">
        <v>0</v>
      </c>
      <c r="AC49">
        <v>0</v>
      </c>
      <c r="AD49">
        <v>0</v>
      </c>
      <c r="AE49">
        <v>247.12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0</v>
      </c>
      <c r="AP49">
        <v>0</v>
      </c>
      <c r="AQ49">
        <v>1</v>
      </c>
      <c r="AR49">
        <v>0</v>
      </c>
      <c r="AT49">
        <v>1.6</v>
      </c>
      <c r="AV49">
        <v>0</v>
      </c>
      <c r="AW49">
        <v>2</v>
      </c>
      <c r="AX49">
        <v>27149424</v>
      </c>
      <c r="AY49">
        <v>2</v>
      </c>
      <c r="AZ49">
        <v>16384</v>
      </c>
      <c r="BA49">
        <v>56</v>
      </c>
      <c r="BB49">
        <v>1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395.39200000000005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1</v>
      </c>
      <c r="BQ49">
        <v>395.39200000000005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1</v>
      </c>
      <c r="CX49">
        <f>Y49*Source!I32</f>
        <v>276.208</v>
      </c>
      <c r="CY49">
        <f>AA49</f>
        <v>247.12</v>
      </c>
      <c r="CZ49">
        <f>AE49</f>
        <v>247.12</v>
      </c>
      <c r="DA49">
        <f>AI49</f>
        <v>1</v>
      </c>
      <c r="DB49">
        <v>0</v>
      </c>
    </row>
    <row r="50" spans="1:106" ht="12.75">
      <c r="A50">
        <f>ROW(Source!A32)</f>
        <v>32</v>
      </c>
      <c r="B50">
        <v>26917020</v>
      </c>
      <c r="C50">
        <v>27149408</v>
      </c>
      <c r="D50">
        <v>24334448</v>
      </c>
      <c r="E50">
        <v>1</v>
      </c>
      <c r="F50">
        <v>1</v>
      </c>
      <c r="G50">
        <v>1</v>
      </c>
      <c r="H50">
        <v>3</v>
      </c>
      <c r="I50" t="s">
        <v>326</v>
      </c>
      <c r="J50" t="s">
        <v>327</v>
      </c>
      <c r="K50" t="s">
        <v>328</v>
      </c>
      <c r="L50">
        <v>1348</v>
      </c>
      <c r="N50">
        <v>1009</v>
      </c>
      <c r="O50" t="s">
        <v>115</v>
      </c>
      <c r="P50" t="s">
        <v>115</v>
      </c>
      <c r="Q50">
        <v>1000</v>
      </c>
      <c r="W50">
        <v>0</v>
      </c>
      <c r="X50">
        <v>284443302</v>
      </c>
      <c r="Y50">
        <v>0.00028</v>
      </c>
      <c r="AA50">
        <v>81420</v>
      </c>
      <c r="AB50">
        <v>0</v>
      </c>
      <c r="AC50">
        <v>0</v>
      </c>
      <c r="AD50">
        <v>0</v>
      </c>
      <c r="AE50">
        <v>81420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0</v>
      </c>
      <c r="AP50">
        <v>0</v>
      </c>
      <c r="AQ50">
        <v>1</v>
      </c>
      <c r="AR50">
        <v>0</v>
      </c>
      <c r="AT50">
        <v>0.00028</v>
      </c>
      <c r="AV50">
        <v>0</v>
      </c>
      <c r="AW50">
        <v>2</v>
      </c>
      <c r="AX50">
        <v>27149425</v>
      </c>
      <c r="AY50">
        <v>2</v>
      </c>
      <c r="AZ50">
        <v>16384</v>
      </c>
      <c r="BA50">
        <v>57</v>
      </c>
      <c r="BB50">
        <v>1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22.7976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1</v>
      </c>
      <c r="BQ50">
        <v>22.7976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1</v>
      </c>
      <c r="CX50">
        <f>Y50*Source!I32</f>
        <v>0.048336399999999995</v>
      </c>
      <c r="CY50">
        <f>AA50</f>
        <v>81420</v>
      </c>
      <c r="CZ50">
        <f>AE50</f>
        <v>81420</v>
      </c>
      <c r="DA50">
        <f>AI50</f>
        <v>1</v>
      </c>
      <c r="DB50">
        <v>0</v>
      </c>
    </row>
    <row r="51" spans="1:106" ht="12.75">
      <c r="A51">
        <f>ROW(Source!A32)</f>
        <v>32</v>
      </c>
      <c r="B51">
        <v>26917020</v>
      </c>
      <c r="C51">
        <v>27149408</v>
      </c>
      <c r="D51">
        <v>24334475</v>
      </c>
      <c r="E51">
        <v>1</v>
      </c>
      <c r="F51">
        <v>1</v>
      </c>
      <c r="G51">
        <v>1</v>
      </c>
      <c r="H51">
        <v>3</v>
      </c>
      <c r="I51" t="s">
        <v>329</v>
      </c>
      <c r="J51" t="s">
        <v>330</v>
      </c>
      <c r="K51" t="s">
        <v>331</v>
      </c>
      <c r="L51">
        <v>1348</v>
      </c>
      <c r="N51">
        <v>1009</v>
      </c>
      <c r="O51" t="s">
        <v>115</v>
      </c>
      <c r="P51" t="s">
        <v>115</v>
      </c>
      <c r="Q51">
        <v>1000</v>
      </c>
      <c r="W51">
        <v>0</v>
      </c>
      <c r="X51">
        <v>-1238732844</v>
      </c>
      <c r="Y51">
        <v>0.00773</v>
      </c>
      <c r="AA51">
        <v>183264</v>
      </c>
      <c r="AB51">
        <v>0</v>
      </c>
      <c r="AC51">
        <v>0</v>
      </c>
      <c r="AD51">
        <v>0</v>
      </c>
      <c r="AE51">
        <v>183264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0</v>
      </c>
      <c r="AP51">
        <v>0</v>
      </c>
      <c r="AQ51">
        <v>1</v>
      </c>
      <c r="AR51">
        <v>0</v>
      </c>
      <c r="AT51">
        <v>0.00773</v>
      </c>
      <c r="AV51">
        <v>0</v>
      </c>
      <c r="AW51">
        <v>2</v>
      </c>
      <c r="AX51">
        <v>27149426</v>
      </c>
      <c r="AY51">
        <v>2</v>
      </c>
      <c r="AZ51">
        <v>16384</v>
      </c>
      <c r="BA51">
        <v>58</v>
      </c>
      <c r="BB51">
        <v>1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1416.6307199999999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1</v>
      </c>
      <c r="BQ51">
        <v>1416.6307199999999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1</v>
      </c>
      <c r="CX51">
        <f>Y51*Source!I32</f>
        <v>1.3344299</v>
      </c>
      <c r="CY51">
        <f>AA51</f>
        <v>183264</v>
      </c>
      <c r="CZ51">
        <f>AE51</f>
        <v>183264</v>
      </c>
      <c r="DA51">
        <f>AI51</f>
        <v>1</v>
      </c>
      <c r="DB51">
        <v>0</v>
      </c>
    </row>
    <row r="52" spans="1:106" ht="12.75">
      <c r="A52">
        <f>ROW(Source!A33)</f>
        <v>33</v>
      </c>
      <c r="B52">
        <v>26917020</v>
      </c>
      <c r="C52">
        <v>27149427</v>
      </c>
      <c r="D52">
        <v>9419296</v>
      </c>
      <c r="E52">
        <v>1</v>
      </c>
      <c r="F52">
        <v>1</v>
      </c>
      <c r="G52">
        <v>1</v>
      </c>
      <c r="H52">
        <v>1</v>
      </c>
      <c r="I52" t="s">
        <v>332</v>
      </c>
      <c r="K52" t="s">
        <v>333</v>
      </c>
      <c r="L52">
        <v>1369</v>
      </c>
      <c r="N52">
        <v>1013</v>
      </c>
      <c r="O52" t="s">
        <v>232</v>
      </c>
      <c r="P52" t="s">
        <v>232</v>
      </c>
      <c r="Q52">
        <v>1</v>
      </c>
      <c r="W52">
        <v>0</v>
      </c>
      <c r="X52">
        <v>-152249182</v>
      </c>
      <c r="Y52">
        <v>5.285399999999999</v>
      </c>
      <c r="AA52">
        <v>0</v>
      </c>
      <c r="AB52">
        <v>0</v>
      </c>
      <c r="AC52">
        <v>0</v>
      </c>
      <c r="AD52">
        <v>154.76</v>
      </c>
      <c r="AE52">
        <v>0</v>
      </c>
      <c r="AF52">
        <v>0</v>
      </c>
      <c r="AG52">
        <v>0</v>
      </c>
      <c r="AH52">
        <v>154.76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0</v>
      </c>
      <c r="AP52">
        <v>1</v>
      </c>
      <c r="AQ52">
        <v>1</v>
      </c>
      <c r="AR52">
        <v>0</v>
      </c>
      <c r="AT52">
        <v>3.83</v>
      </c>
      <c r="AU52" t="s">
        <v>38</v>
      </c>
      <c r="AV52">
        <v>1</v>
      </c>
      <c r="AW52">
        <v>2</v>
      </c>
      <c r="AX52">
        <v>27149439</v>
      </c>
      <c r="AY52">
        <v>2</v>
      </c>
      <c r="AZ52">
        <v>131072</v>
      </c>
      <c r="BA52">
        <v>59</v>
      </c>
      <c r="BB52">
        <v>1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592.7307999999999</v>
      </c>
      <c r="BN52">
        <v>3.83</v>
      </c>
      <c r="BO52">
        <v>0</v>
      </c>
      <c r="BP52">
        <v>1</v>
      </c>
      <c r="BQ52">
        <v>0</v>
      </c>
      <c r="BR52">
        <v>0</v>
      </c>
      <c r="BS52">
        <v>0</v>
      </c>
      <c r="BT52">
        <v>817.9685039999998</v>
      </c>
      <c r="BU52">
        <v>5.285399999999999</v>
      </c>
      <c r="BV52">
        <v>0</v>
      </c>
      <c r="BW52">
        <v>1</v>
      </c>
      <c r="CX52">
        <f>Y52*Source!I33</f>
        <v>912.4186019999999</v>
      </c>
      <c r="CY52">
        <f>AD52</f>
        <v>154.76</v>
      </c>
      <c r="CZ52">
        <f>AH52</f>
        <v>154.76</v>
      </c>
      <c r="DA52">
        <f>AL52</f>
        <v>1</v>
      </c>
      <c r="DB52">
        <v>0</v>
      </c>
    </row>
    <row r="53" spans="1:106" ht="12.75">
      <c r="A53">
        <f>ROW(Source!A33)</f>
        <v>33</v>
      </c>
      <c r="B53">
        <v>26917020</v>
      </c>
      <c r="C53">
        <v>27149427</v>
      </c>
      <c r="D53">
        <v>121548</v>
      </c>
      <c r="E53">
        <v>1</v>
      </c>
      <c r="F53">
        <v>1</v>
      </c>
      <c r="G53">
        <v>1</v>
      </c>
      <c r="H53">
        <v>1</v>
      </c>
      <c r="I53" t="s">
        <v>23</v>
      </c>
      <c r="K53" t="s">
        <v>233</v>
      </c>
      <c r="L53">
        <v>608254</v>
      </c>
      <c r="N53">
        <v>1013</v>
      </c>
      <c r="O53" t="s">
        <v>234</v>
      </c>
      <c r="P53" t="s">
        <v>234</v>
      </c>
      <c r="Q53">
        <v>1</v>
      </c>
      <c r="W53">
        <v>0</v>
      </c>
      <c r="X53">
        <v>-185737400</v>
      </c>
      <c r="Y53">
        <v>0.21000000000000002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0</v>
      </c>
      <c r="AP53">
        <v>1</v>
      </c>
      <c r="AQ53">
        <v>1</v>
      </c>
      <c r="AR53">
        <v>0</v>
      </c>
      <c r="AT53">
        <v>0.14</v>
      </c>
      <c r="AU53" t="s">
        <v>37</v>
      </c>
      <c r="AV53">
        <v>2</v>
      </c>
      <c r="AW53">
        <v>2</v>
      </c>
      <c r="AX53">
        <v>27149440</v>
      </c>
      <c r="AY53">
        <v>1</v>
      </c>
      <c r="AZ53">
        <v>0</v>
      </c>
      <c r="BA53">
        <v>60</v>
      </c>
      <c r="BB53">
        <v>1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0.14</v>
      </c>
      <c r="BP53">
        <v>1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0.21000000000000002</v>
      </c>
      <c r="BW53">
        <v>1</v>
      </c>
      <c r="CX53">
        <f>Y53*Source!I33</f>
        <v>36.252300000000005</v>
      </c>
      <c r="CY53">
        <f>AD53</f>
        <v>0</v>
      </c>
      <c r="CZ53">
        <f>AH53</f>
        <v>0</v>
      </c>
      <c r="DA53">
        <f>AL53</f>
        <v>1</v>
      </c>
      <c r="DB53">
        <v>0</v>
      </c>
    </row>
    <row r="54" spans="1:106" ht="12.75">
      <c r="A54">
        <f>ROW(Source!A33)</f>
        <v>33</v>
      </c>
      <c r="B54">
        <v>26917020</v>
      </c>
      <c r="C54">
        <v>27149427</v>
      </c>
      <c r="D54">
        <v>24265924</v>
      </c>
      <c r="E54">
        <v>1</v>
      </c>
      <c r="F54">
        <v>1</v>
      </c>
      <c r="G54">
        <v>1</v>
      </c>
      <c r="H54">
        <v>2</v>
      </c>
      <c r="I54" t="s">
        <v>314</v>
      </c>
      <c r="J54" t="s">
        <v>315</v>
      </c>
      <c r="K54" t="s">
        <v>316</v>
      </c>
      <c r="L54">
        <v>1368</v>
      </c>
      <c r="N54">
        <v>1011</v>
      </c>
      <c r="O54" t="s">
        <v>238</v>
      </c>
      <c r="P54" t="s">
        <v>238</v>
      </c>
      <c r="Q54">
        <v>1</v>
      </c>
      <c r="W54">
        <v>0</v>
      </c>
      <c r="X54">
        <v>2138795948</v>
      </c>
      <c r="Y54">
        <v>0.015</v>
      </c>
      <c r="AA54">
        <v>0</v>
      </c>
      <c r="AB54">
        <v>492.75</v>
      </c>
      <c r="AC54">
        <v>0</v>
      </c>
      <c r="AD54">
        <v>0</v>
      </c>
      <c r="AE54">
        <v>0</v>
      </c>
      <c r="AF54">
        <v>492.75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0</v>
      </c>
      <c r="AP54">
        <v>1</v>
      </c>
      <c r="AQ54">
        <v>1</v>
      </c>
      <c r="AR54">
        <v>0</v>
      </c>
      <c r="AT54">
        <v>0.01</v>
      </c>
      <c r="AU54" t="s">
        <v>37</v>
      </c>
      <c r="AV54">
        <v>0</v>
      </c>
      <c r="AW54">
        <v>2</v>
      </c>
      <c r="AX54">
        <v>27149441</v>
      </c>
      <c r="AY54">
        <v>2</v>
      </c>
      <c r="AZ54">
        <v>98304</v>
      </c>
      <c r="BA54">
        <v>61</v>
      </c>
      <c r="BB54">
        <v>1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4.9275</v>
      </c>
      <c r="BL54">
        <v>0</v>
      </c>
      <c r="BM54">
        <v>0</v>
      </c>
      <c r="BN54">
        <v>0</v>
      </c>
      <c r="BO54">
        <v>0</v>
      </c>
      <c r="BP54">
        <v>1</v>
      </c>
      <c r="BQ54">
        <v>0</v>
      </c>
      <c r="BR54">
        <v>7.391249999999999</v>
      </c>
      <c r="BS54">
        <v>0</v>
      </c>
      <c r="BT54">
        <v>0</v>
      </c>
      <c r="BU54">
        <v>0</v>
      </c>
      <c r="BV54">
        <v>0</v>
      </c>
      <c r="BW54">
        <v>1</v>
      </c>
      <c r="CX54">
        <f>Y54*Source!I33</f>
        <v>2.58945</v>
      </c>
      <c r="CY54">
        <f>AB54</f>
        <v>492.75</v>
      </c>
      <c r="CZ54">
        <f>AF54</f>
        <v>492.75</v>
      </c>
      <c r="DA54">
        <f>AJ54</f>
        <v>1</v>
      </c>
      <c r="DB54">
        <v>0</v>
      </c>
    </row>
    <row r="55" spans="1:106" ht="12.75">
      <c r="A55">
        <f>ROW(Source!A33)</f>
        <v>33</v>
      </c>
      <c r="B55">
        <v>26917020</v>
      </c>
      <c r="C55">
        <v>27149427</v>
      </c>
      <c r="D55">
        <v>24316761</v>
      </c>
      <c r="E55">
        <v>1</v>
      </c>
      <c r="F55">
        <v>1</v>
      </c>
      <c r="G55">
        <v>1</v>
      </c>
      <c r="H55">
        <v>2</v>
      </c>
      <c r="I55" t="s">
        <v>317</v>
      </c>
      <c r="J55" t="s">
        <v>318</v>
      </c>
      <c r="K55" t="s">
        <v>319</v>
      </c>
      <c r="L55">
        <v>1368</v>
      </c>
      <c r="N55">
        <v>1011</v>
      </c>
      <c r="O55" t="s">
        <v>238</v>
      </c>
      <c r="P55" t="s">
        <v>238</v>
      </c>
      <c r="Q55">
        <v>1</v>
      </c>
      <c r="W55">
        <v>0</v>
      </c>
      <c r="X55">
        <v>1793891640</v>
      </c>
      <c r="Y55">
        <v>0.03</v>
      </c>
      <c r="AA55">
        <v>0</v>
      </c>
      <c r="AB55">
        <v>6.58</v>
      </c>
      <c r="AC55">
        <v>0</v>
      </c>
      <c r="AD55">
        <v>0</v>
      </c>
      <c r="AE55">
        <v>0</v>
      </c>
      <c r="AF55">
        <v>6.58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0</v>
      </c>
      <c r="AP55">
        <v>1</v>
      </c>
      <c r="AQ55">
        <v>1</v>
      </c>
      <c r="AR55">
        <v>0</v>
      </c>
      <c r="AT55">
        <v>0.02</v>
      </c>
      <c r="AU55" t="s">
        <v>37</v>
      </c>
      <c r="AV55">
        <v>0</v>
      </c>
      <c r="AW55">
        <v>2</v>
      </c>
      <c r="AX55">
        <v>27149442</v>
      </c>
      <c r="AY55">
        <v>2</v>
      </c>
      <c r="AZ55">
        <v>32768</v>
      </c>
      <c r="BA55">
        <v>62</v>
      </c>
      <c r="BB55">
        <v>1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0.1316</v>
      </c>
      <c r="BL55">
        <v>0</v>
      </c>
      <c r="BM55">
        <v>0</v>
      </c>
      <c r="BN55">
        <v>0</v>
      </c>
      <c r="BO55">
        <v>0</v>
      </c>
      <c r="BP55">
        <v>1</v>
      </c>
      <c r="BQ55">
        <v>0</v>
      </c>
      <c r="BR55">
        <v>0.1974</v>
      </c>
      <c r="BS55">
        <v>0</v>
      </c>
      <c r="BT55">
        <v>0</v>
      </c>
      <c r="BU55">
        <v>0</v>
      </c>
      <c r="BV55">
        <v>0</v>
      </c>
      <c r="BW55">
        <v>1</v>
      </c>
      <c r="CX55">
        <f>Y55*Source!I33</f>
        <v>5.1789</v>
      </c>
      <c r="CY55">
        <f>AB55</f>
        <v>6.58</v>
      </c>
      <c r="CZ55">
        <f>AF55</f>
        <v>6.58</v>
      </c>
      <c r="DA55">
        <f>AJ55</f>
        <v>1</v>
      </c>
      <c r="DB55">
        <v>0</v>
      </c>
    </row>
    <row r="56" spans="1:106" ht="12.75">
      <c r="A56">
        <f>ROW(Source!A33)</f>
        <v>33</v>
      </c>
      <c r="B56">
        <v>26917020</v>
      </c>
      <c r="C56">
        <v>27149427</v>
      </c>
      <c r="D56">
        <v>24313971</v>
      </c>
      <c r="E56">
        <v>1</v>
      </c>
      <c r="F56">
        <v>1</v>
      </c>
      <c r="G56">
        <v>1</v>
      </c>
      <c r="H56">
        <v>2</v>
      </c>
      <c r="I56" t="s">
        <v>334</v>
      </c>
      <c r="J56" t="s">
        <v>335</v>
      </c>
      <c r="K56" t="s">
        <v>336</v>
      </c>
      <c r="L56">
        <v>1368</v>
      </c>
      <c r="N56">
        <v>1011</v>
      </c>
      <c r="O56" t="s">
        <v>238</v>
      </c>
      <c r="P56" t="s">
        <v>238</v>
      </c>
      <c r="Q56">
        <v>1</v>
      </c>
      <c r="W56">
        <v>0</v>
      </c>
      <c r="X56">
        <v>-1768163559</v>
      </c>
      <c r="Y56">
        <v>0.06</v>
      </c>
      <c r="AA56">
        <v>0</v>
      </c>
      <c r="AB56">
        <v>149.05</v>
      </c>
      <c r="AC56">
        <v>0</v>
      </c>
      <c r="AD56">
        <v>0</v>
      </c>
      <c r="AE56">
        <v>0</v>
      </c>
      <c r="AF56">
        <v>149.05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0</v>
      </c>
      <c r="AP56">
        <v>1</v>
      </c>
      <c r="AQ56">
        <v>1</v>
      </c>
      <c r="AR56">
        <v>0</v>
      </c>
      <c r="AT56">
        <v>0.04</v>
      </c>
      <c r="AU56" t="s">
        <v>37</v>
      </c>
      <c r="AV56">
        <v>0</v>
      </c>
      <c r="AW56">
        <v>2</v>
      </c>
      <c r="AX56">
        <v>27149443</v>
      </c>
      <c r="AY56">
        <v>2</v>
      </c>
      <c r="AZ56">
        <v>98304</v>
      </c>
      <c r="BA56">
        <v>63</v>
      </c>
      <c r="BB56">
        <v>1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5.962000000000001</v>
      </c>
      <c r="BL56">
        <v>0</v>
      </c>
      <c r="BM56">
        <v>0</v>
      </c>
      <c r="BN56">
        <v>0</v>
      </c>
      <c r="BO56">
        <v>0</v>
      </c>
      <c r="BP56">
        <v>1</v>
      </c>
      <c r="BQ56">
        <v>0</v>
      </c>
      <c r="BR56">
        <v>8.943</v>
      </c>
      <c r="BS56">
        <v>0</v>
      </c>
      <c r="BT56">
        <v>0</v>
      </c>
      <c r="BU56">
        <v>0</v>
      </c>
      <c r="BV56">
        <v>0</v>
      </c>
      <c r="BW56">
        <v>1</v>
      </c>
      <c r="CX56">
        <f>Y56*Source!I33</f>
        <v>10.3578</v>
      </c>
      <c r="CY56">
        <f>AB56</f>
        <v>149.05</v>
      </c>
      <c r="CZ56">
        <f>AF56</f>
        <v>149.05</v>
      </c>
      <c r="DA56">
        <f>AJ56</f>
        <v>1</v>
      </c>
      <c r="DB56">
        <v>0</v>
      </c>
    </row>
    <row r="57" spans="1:106" ht="12.75">
      <c r="A57">
        <f>ROW(Source!A33)</f>
        <v>33</v>
      </c>
      <c r="B57">
        <v>26917020</v>
      </c>
      <c r="C57">
        <v>27149427</v>
      </c>
      <c r="D57">
        <v>24330881</v>
      </c>
      <c r="E57">
        <v>1</v>
      </c>
      <c r="F57">
        <v>1</v>
      </c>
      <c r="G57">
        <v>1</v>
      </c>
      <c r="H57">
        <v>2</v>
      </c>
      <c r="I57" t="s">
        <v>337</v>
      </c>
      <c r="J57" t="s">
        <v>338</v>
      </c>
      <c r="K57" t="s">
        <v>339</v>
      </c>
      <c r="L57">
        <v>1368</v>
      </c>
      <c r="N57">
        <v>1011</v>
      </c>
      <c r="O57" t="s">
        <v>238</v>
      </c>
      <c r="P57" t="s">
        <v>238</v>
      </c>
      <c r="Q57">
        <v>1</v>
      </c>
      <c r="W57">
        <v>0</v>
      </c>
      <c r="X57">
        <v>652299674</v>
      </c>
      <c r="Y57">
        <v>0.13499999999999998</v>
      </c>
      <c r="AA57">
        <v>0</v>
      </c>
      <c r="AB57">
        <v>226.2</v>
      </c>
      <c r="AC57">
        <v>0</v>
      </c>
      <c r="AD57">
        <v>0</v>
      </c>
      <c r="AE57">
        <v>0</v>
      </c>
      <c r="AF57">
        <v>226.2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0</v>
      </c>
      <c r="AP57">
        <v>1</v>
      </c>
      <c r="AQ57">
        <v>1</v>
      </c>
      <c r="AR57">
        <v>0</v>
      </c>
      <c r="AT57">
        <v>0.09</v>
      </c>
      <c r="AU57" t="s">
        <v>37</v>
      </c>
      <c r="AV57">
        <v>0</v>
      </c>
      <c r="AW57">
        <v>2</v>
      </c>
      <c r="AX57">
        <v>27149444</v>
      </c>
      <c r="AY57">
        <v>2</v>
      </c>
      <c r="AZ57">
        <v>98304</v>
      </c>
      <c r="BA57">
        <v>64</v>
      </c>
      <c r="BB57">
        <v>1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20.357999999999997</v>
      </c>
      <c r="BL57">
        <v>0</v>
      </c>
      <c r="BM57">
        <v>0</v>
      </c>
      <c r="BN57">
        <v>0</v>
      </c>
      <c r="BO57">
        <v>0</v>
      </c>
      <c r="BP57">
        <v>1</v>
      </c>
      <c r="BQ57">
        <v>0</v>
      </c>
      <c r="BR57">
        <v>30.536999999999995</v>
      </c>
      <c r="BS57">
        <v>0</v>
      </c>
      <c r="BT57">
        <v>0</v>
      </c>
      <c r="BU57">
        <v>0</v>
      </c>
      <c r="BV57">
        <v>0</v>
      </c>
      <c r="BW57">
        <v>1</v>
      </c>
      <c r="CX57">
        <f>Y57*Source!I33</f>
        <v>23.305049999999998</v>
      </c>
      <c r="CY57">
        <f>AB57</f>
        <v>226.2</v>
      </c>
      <c r="CZ57">
        <f>AF57</f>
        <v>226.2</v>
      </c>
      <c r="DA57">
        <f>AJ57</f>
        <v>1</v>
      </c>
      <c r="DB57">
        <v>0</v>
      </c>
    </row>
    <row r="58" spans="1:106" ht="12.75">
      <c r="A58">
        <f>ROW(Source!A33)</f>
        <v>33</v>
      </c>
      <c r="B58">
        <v>26917020</v>
      </c>
      <c r="C58">
        <v>27149427</v>
      </c>
      <c r="D58">
        <v>24262102</v>
      </c>
      <c r="E58">
        <v>1</v>
      </c>
      <c r="F58">
        <v>1</v>
      </c>
      <c r="G58">
        <v>1</v>
      </c>
      <c r="H58">
        <v>2</v>
      </c>
      <c r="I58" t="s">
        <v>277</v>
      </c>
      <c r="J58" t="s">
        <v>278</v>
      </c>
      <c r="K58" t="s">
        <v>279</v>
      </c>
      <c r="L58">
        <v>1368</v>
      </c>
      <c r="N58">
        <v>1011</v>
      </c>
      <c r="O58" t="s">
        <v>238</v>
      </c>
      <c r="P58" t="s">
        <v>238</v>
      </c>
      <c r="Q58">
        <v>1</v>
      </c>
      <c r="W58">
        <v>0</v>
      </c>
      <c r="X58">
        <v>596191924</v>
      </c>
      <c r="Y58">
        <v>0.09</v>
      </c>
      <c r="AA58">
        <v>0</v>
      </c>
      <c r="AB58">
        <v>698.33</v>
      </c>
      <c r="AC58">
        <v>0</v>
      </c>
      <c r="AD58">
        <v>0</v>
      </c>
      <c r="AE58">
        <v>0</v>
      </c>
      <c r="AF58">
        <v>698.33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0</v>
      </c>
      <c r="AP58">
        <v>1</v>
      </c>
      <c r="AQ58">
        <v>1</v>
      </c>
      <c r="AR58">
        <v>0</v>
      </c>
      <c r="AT58">
        <v>0.06</v>
      </c>
      <c r="AU58" t="s">
        <v>37</v>
      </c>
      <c r="AV58">
        <v>0</v>
      </c>
      <c r="AW58">
        <v>2</v>
      </c>
      <c r="AX58">
        <v>27149445</v>
      </c>
      <c r="AY58">
        <v>2</v>
      </c>
      <c r="AZ58">
        <v>98304</v>
      </c>
      <c r="BA58">
        <v>65</v>
      </c>
      <c r="BB58">
        <v>1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41.8998</v>
      </c>
      <c r="BL58">
        <v>0</v>
      </c>
      <c r="BM58">
        <v>0</v>
      </c>
      <c r="BN58">
        <v>0</v>
      </c>
      <c r="BO58">
        <v>0</v>
      </c>
      <c r="BP58">
        <v>1</v>
      </c>
      <c r="BQ58">
        <v>0</v>
      </c>
      <c r="BR58">
        <v>62.8497</v>
      </c>
      <c r="BS58">
        <v>0</v>
      </c>
      <c r="BT58">
        <v>0</v>
      </c>
      <c r="BU58">
        <v>0</v>
      </c>
      <c r="BV58">
        <v>0</v>
      </c>
      <c r="BW58">
        <v>1</v>
      </c>
      <c r="CX58">
        <f>Y58*Source!I33</f>
        <v>15.5367</v>
      </c>
      <c r="CY58">
        <f>AB58</f>
        <v>698.33</v>
      </c>
      <c r="CZ58">
        <f>AF58</f>
        <v>698.33</v>
      </c>
      <c r="DA58">
        <f>AJ58</f>
        <v>1</v>
      </c>
      <c r="DB58">
        <v>0</v>
      </c>
    </row>
    <row r="59" spans="1:106" ht="12.75">
      <c r="A59">
        <f>ROW(Source!A33)</f>
        <v>33</v>
      </c>
      <c r="B59">
        <v>26917020</v>
      </c>
      <c r="C59">
        <v>27149427</v>
      </c>
      <c r="D59">
        <v>24330345</v>
      </c>
      <c r="E59">
        <v>1</v>
      </c>
      <c r="F59">
        <v>1</v>
      </c>
      <c r="G59">
        <v>1</v>
      </c>
      <c r="H59">
        <v>3</v>
      </c>
      <c r="I59" t="s">
        <v>340</v>
      </c>
      <c r="J59" t="s">
        <v>341</v>
      </c>
      <c r="K59" t="s">
        <v>342</v>
      </c>
      <c r="L59">
        <v>1348</v>
      </c>
      <c r="N59">
        <v>1009</v>
      </c>
      <c r="O59" t="s">
        <v>115</v>
      </c>
      <c r="P59" t="s">
        <v>115</v>
      </c>
      <c r="Q59">
        <v>1000</v>
      </c>
      <c r="W59">
        <v>0</v>
      </c>
      <c r="X59">
        <v>-1842594342</v>
      </c>
      <c r="Y59">
        <v>0.00127</v>
      </c>
      <c r="AA59">
        <v>49868.65</v>
      </c>
      <c r="AB59">
        <v>0</v>
      </c>
      <c r="AC59">
        <v>0</v>
      </c>
      <c r="AD59">
        <v>0</v>
      </c>
      <c r="AE59">
        <v>49868.65</v>
      </c>
      <c r="AF59">
        <v>0</v>
      </c>
      <c r="AG59">
        <v>0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0</v>
      </c>
      <c r="AP59">
        <v>0</v>
      </c>
      <c r="AQ59">
        <v>1</v>
      </c>
      <c r="AR59">
        <v>0</v>
      </c>
      <c r="AT59">
        <v>0.00127</v>
      </c>
      <c r="AV59">
        <v>0</v>
      </c>
      <c r="AW59">
        <v>2</v>
      </c>
      <c r="AX59">
        <v>27149446</v>
      </c>
      <c r="AY59">
        <v>2</v>
      </c>
      <c r="AZ59">
        <v>16384</v>
      </c>
      <c r="BA59">
        <v>66</v>
      </c>
      <c r="BB59">
        <v>1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63.333185500000006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1</v>
      </c>
      <c r="BQ59">
        <v>63.333185500000006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1</v>
      </c>
      <c r="CX59">
        <f>Y59*Source!I33</f>
        <v>0.21924010000000002</v>
      </c>
      <c r="CY59">
        <f>AA59</f>
        <v>49868.65</v>
      </c>
      <c r="CZ59">
        <f>AE59</f>
        <v>49868.65</v>
      </c>
      <c r="DA59">
        <f>AI59</f>
        <v>1</v>
      </c>
      <c r="DB59">
        <v>0</v>
      </c>
    </row>
    <row r="60" spans="1:106" ht="12.75">
      <c r="A60">
        <f>ROW(Source!A33)</f>
        <v>33</v>
      </c>
      <c r="B60">
        <v>26917020</v>
      </c>
      <c r="C60">
        <v>27149427</v>
      </c>
      <c r="D60">
        <v>24330346</v>
      </c>
      <c r="E60">
        <v>1</v>
      </c>
      <c r="F60">
        <v>1</v>
      </c>
      <c r="G60">
        <v>1</v>
      </c>
      <c r="H60">
        <v>3</v>
      </c>
      <c r="I60" t="s">
        <v>343</v>
      </c>
      <c r="J60" t="s">
        <v>344</v>
      </c>
      <c r="K60" t="s">
        <v>345</v>
      </c>
      <c r="L60">
        <v>1348</v>
      </c>
      <c r="N60">
        <v>1009</v>
      </c>
      <c r="O60" t="s">
        <v>115</v>
      </c>
      <c r="P60" t="s">
        <v>115</v>
      </c>
      <c r="Q60">
        <v>1000</v>
      </c>
      <c r="W60">
        <v>0</v>
      </c>
      <c r="X60">
        <v>-463722913</v>
      </c>
      <c r="Y60">
        <v>0.00847</v>
      </c>
      <c r="AA60">
        <v>37674</v>
      </c>
      <c r="AB60">
        <v>0</v>
      </c>
      <c r="AC60">
        <v>0</v>
      </c>
      <c r="AD60">
        <v>0</v>
      </c>
      <c r="AE60">
        <v>37674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0</v>
      </c>
      <c r="AP60">
        <v>0</v>
      </c>
      <c r="AQ60">
        <v>1</v>
      </c>
      <c r="AR60">
        <v>0</v>
      </c>
      <c r="AT60">
        <v>0.00847</v>
      </c>
      <c r="AV60">
        <v>0</v>
      </c>
      <c r="AW60">
        <v>2</v>
      </c>
      <c r="AX60">
        <v>27149447</v>
      </c>
      <c r="AY60">
        <v>2</v>
      </c>
      <c r="AZ60">
        <v>16384</v>
      </c>
      <c r="BA60">
        <v>67</v>
      </c>
      <c r="BB60">
        <v>1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319.09878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1</v>
      </c>
      <c r="BQ60">
        <v>319.09878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1</v>
      </c>
      <c r="CX60">
        <f>Y60*Source!I33</f>
        <v>1.4621761</v>
      </c>
      <c r="CY60">
        <f>AA60</f>
        <v>37674</v>
      </c>
      <c r="CZ60">
        <f>AE60</f>
        <v>37674</v>
      </c>
      <c r="DA60">
        <f>AI60</f>
        <v>1</v>
      </c>
      <c r="DB60">
        <v>0</v>
      </c>
    </row>
    <row r="61" spans="1:106" ht="12.75">
      <c r="A61">
        <f>ROW(Source!A33)</f>
        <v>33</v>
      </c>
      <c r="B61">
        <v>26917020</v>
      </c>
      <c r="C61">
        <v>27149427</v>
      </c>
      <c r="D61">
        <v>24332683</v>
      </c>
      <c r="E61">
        <v>1</v>
      </c>
      <c r="F61">
        <v>1</v>
      </c>
      <c r="G61">
        <v>1</v>
      </c>
      <c r="H61">
        <v>3</v>
      </c>
      <c r="I61" t="s">
        <v>346</v>
      </c>
      <c r="J61" t="s">
        <v>347</v>
      </c>
      <c r="K61" t="s">
        <v>348</v>
      </c>
      <c r="L61">
        <v>1327</v>
      </c>
      <c r="N61">
        <v>1005</v>
      </c>
      <c r="O61" t="s">
        <v>253</v>
      </c>
      <c r="P61" t="s">
        <v>253</v>
      </c>
      <c r="Q61">
        <v>1</v>
      </c>
      <c r="W61">
        <v>0</v>
      </c>
      <c r="X61">
        <v>-584050381</v>
      </c>
      <c r="Y61">
        <v>1.02</v>
      </c>
      <c r="AA61">
        <v>1758</v>
      </c>
      <c r="AB61">
        <v>0</v>
      </c>
      <c r="AC61">
        <v>0</v>
      </c>
      <c r="AD61">
        <v>0</v>
      </c>
      <c r="AE61">
        <v>1758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0</v>
      </c>
      <c r="AP61">
        <v>0</v>
      </c>
      <c r="AQ61">
        <v>1</v>
      </c>
      <c r="AR61">
        <v>0</v>
      </c>
      <c r="AT61">
        <v>1.02</v>
      </c>
      <c r="AV61">
        <v>0</v>
      </c>
      <c r="AW61">
        <v>2</v>
      </c>
      <c r="AX61">
        <v>27149448</v>
      </c>
      <c r="AY61">
        <v>2</v>
      </c>
      <c r="AZ61">
        <v>16384</v>
      </c>
      <c r="BA61">
        <v>68</v>
      </c>
      <c r="BB61">
        <v>1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1793.16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1</v>
      </c>
      <c r="BQ61">
        <v>1793.16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1</v>
      </c>
      <c r="CX61">
        <f>Y61*Source!I33</f>
        <v>176.08259999999999</v>
      </c>
      <c r="CY61">
        <f>AA61</f>
        <v>1758</v>
      </c>
      <c r="CZ61">
        <f>AE61</f>
        <v>1758</v>
      </c>
      <c r="DA61">
        <f>AI61</f>
        <v>1</v>
      </c>
      <c r="DB61">
        <v>0</v>
      </c>
    </row>
    <row r="62" spans="1:106" ht="12.75">
      <c r="A62">
        <f>ROW(Source!A33)</f>
        <v>33</v>
      </c>
      <c r="B62">
        <v>26917020</v>
      </c>
      <c r="C62">
        <v>27149427</v>
      </c>
      <c r="D62">
        <v>24330556</v>
      </c>
      <c r="E62">
        <v>1</v>
      </c>
      <c r="F62">
        <v>1</v>
      </c>
      <c r="G62">
        <v>1</v>
      </c>
      <c r="H62">
        <v>3</v>
      </c>
      <c r="I62" t="s">
        <v>349</v>
      </c>
      <c r="J62" t="s">
        <v>350</v>
      </c>
      <c r="K62" t="s">
        <v>351</v>
      </c>
      <c r="L62">
        <v>1348</v>
      </c>
      <c r="N62">
        <v>1009</v>
      </c>
      <c r="O62" t="s">
        <v>115</v>
      </c>
      <c r="P62" t="s">
        <v>115</v>
      </c>
      <c r="Q62">
        <v>1000</v>
      </c>
      <c r="W62">
        <v>0</v>
      </c>
      <c r="X62">
        <v>-494962278</v>
      </c>
      <c r="Y62">
        <v>0.0189</v>
      </c>
      <c r="AA62">
        <v>16798.8</v>
      </c>
      <c r="AB62">
        <v>0</v>
      </c>
      <c r="AC62">
        <v>0</v>
      </c>
      <c r="AD62">
        <v>0</v>
      </c>
      <c r="AE62">
        <v>16798.8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0</v>
      </c>
      <c r="AP62">
        <v>0</v>
      </c>
      <c r="AQ62">
        <v>1</v>
      </c>
      <c r="AR62">
        <v>0</v>
      </c>
      <c r="AT62">
        <v>0.0189</v>
      </c>
      <c r="AV62">
        <v>0</v>
      </c>
      <c r="AW62">
        <v>2</v>
      </c>
      <c r="AX62">
        <v>27149449</v>
      </c>
      <c r="AY62">
        <v>2</v>
      </c>
      <c r="AZ62">
        <v>16384</v>
      </c>
      <c r="BA62">
        <v>69</v>
      </c>
      <c r="BB62">
        <v>1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317.49732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1</v>
      </c>
      <c r="BQ62">
        <v>317.49732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1</v>
      </c>
      <c r="CX62">
        <f>Y62*Source!I33</f>
        <v>3.262707</v>
      </c>
      <c r="CY62">
        <f>AA62</f>
        <v>16798.8</v>
      </c>
      <c r="CZ62">
        <f>AE62</f>
        <v>16798.8</v>
      </c>
      <c r="DA62">
        <f>AI62</f>
        <v>1</v>
      </c>
      <c r="DB62">
        <v>0</v>
      </c>
    </row>
    <row r="63" spans="1:106" ht="12.75">
      <c r="A63">
        <f>ROW(Source!A34)</f>
        <v>34</v>
      </c>
      <c r="B63">
        <v>26917020</v>
      </c>
      <c r="C63">
        <v>27149450</v>
      </c>
      <c r="D63">
        <v>9419296</v>
      </c>
      <c r="E63">
        <v>1</v>
      </c>
      <c r="F63">
        <v>1</v>
      </c>
      <c r="G63">
        <v>1</v>
      </c>
      <c r="H63">
        <v>1</v>
      </c>
      <c r="I63" t="s">
        <v>332</v>
      </c>
      <c r="K63" t="s">
        <v>333</v>
      </c>
      <c r="L63">
        <v>1369</v>
      </c>
      <c r="N63">
        <v>1013</v>
      </c>
      <c r="O63" t="s">
        <v>232</v>
      </c>
      <c r="P63" t="s">
        <v>232</v>
      </c>
      <c r="Q63">
        <v>1</v>
      </c>
      <c r="W63">
        <v>0</v>
      </c>
      <c r="X63">
        <v>-152249182</v>
      </c>
      <c r="Y63">
        <v>2.9255999999999998</v>
      </c>
      <c r="AA63">
        <v>0</v>
      </c>
      <c r="AB63">
        <v>0</v>
      </c>
      <c r="AC63">
        <v>0</v>
      </c>
      <c r="AD63">
        <v>154.76</v>
      </c>
      <c r="AE63">
        <v>0</v>
      </c>
      <c r="AF63">
        <v>0</v>
      </c>
      <c r="AG63">
        <v>0</v>
      </c>
      <c r="AH63">
        <v>154.76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0</v>
      </c>
      <c r="AP63">
        <v>1</v>
      </c>
      <c r="AQ63">
        <v>1</v>
      </c>
      <c r="AR63">
        <v>0</v>
      </c>
      <c r="AT63">
        <v>2.12</v>
      </c>
      <c r="AU63" t="s">
        <v>38</v>
      </c>
      <c r="AV63">
        <v>1</v>
      </c>
      <c r="AW63">
        <v>2</v>
      </c>
      <c r="AX63">
        <v>27149461</v>
      </c>
      <c r="AY63">
        <v>2</v>
      </c>
      <c r="AZ63">
        <v>131072</v>
      </c>
      <c r="BA63">
        <v>70</v>
      </c>
      <c r="BB63">
        <v>1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328.0912</v>
      </c>
      <c r="BN63">
        <v>2.12</v>
      </c>
      <c r="BO63">
        <v>0</v>
      </c>
      <c r="BP63">
        <v>1</v>
      </c>
      <c r="BQ63">
        <v>0</v>
      </c>
      <c r="BR63">
        <v>0</v>
      </c>
      <c r="BS63">
        <v>0</v>
      </c>
      <c r="BT63">
        <v>452.7658559999999</v>
      </c>
      <c r="BU63">
        <v>2.9255999999999998</v>
      </c>
      <c r="BV63">
        <v>0</v>
      </c>
      <c r="BW63">
        <v>1</v>
      </c>
      <c r="CX63">
        <f>Y63*Source!I34</f>
        <v>505.04632799999996</v>
      </c>
      <c r="CY63">
        <f>AD63</f>
        <v>154.76</v>
      </c>
      <c r="CZ63">
        <f>AH63</f>
        <v>154.76</v>
      </c>
      <c r="DA63">
        <f>AL63</f>
        <v>1</v>
      </c>
      <c r="DB63">
        <v>0</v>
      </c>
    </row>
    <row r="64" spans="1:106" ht="12.75">
      <c r="A64">
        <f>ROW(Source!A34)</f>
        <v>34</v>
      </c>
      <c r="B64">
        <v>26917020</v>
      </c>
      <c r="C64">
        <v>27149450</v>
      </c>
      <c r="D64">
        <v>121548</v>
      </c>
      <c r="E64">
        <v>1</v>
      </c>
      <c r="F64">
        <v>1</v>
      </c>
      <c r="G64">
        <v>1</v>
      </c>
      <c r="H64">
        <v>1</v>
      </c>
      <c r="I64" t="s">
        <v>23</v>
      </c>
      <c r="K64" t="s">
        <v>233</v>
      </c>
      <c r="L64">
        <v>608254</v>
      </c>
      <c r="N64">
        <v>1013</v>
      </c>
      <c r="O64" t="s">
        <v>234</v>
      </c>
      <c r="P64" t="s">
        <v>234</v>
      </c>
      <c r="Q64">
        <v>1</v>
      </c>
      <c r="W64">
        <v>0</v>
      </c>
      <c r="X64">
        <v>-185737400</v>
      </c>
      <c r="Y64">
        <v>0.075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0</v>
      </c>
      <c r="AP64">
        <v>1</v>
      </c>
      <c r="AQ64">
        <v>1</v>
      </c>
      <c r="AR64">
        <v>0</v>
      </c>
      <c r="AT64">
        <v>0.05</v>
      </c>
      <c r="AU64" t="s">
        <v>37</v>
      </c>
      <c r="AV64">
        <v>2</v>
      </c>
      <c r="AW64">
        <v>2</v>
      </c>
      <c r="AX64">
        <v>27149462</v>
      </c>
      <c r="AY64">
        <v>1</v>
      </c>
      <c r="AZ64">
        <v>0</v>
      </c>
      <c r="BA64">
        <v>71</v>
      </c>
      <c r="BB64">
        <v>1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0.05</v>
      </c>
      <c r="BP64">
        <v>1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0.075</v>
      </c>
      <c r="BW64">
        <v>1</v>
      </c>
      <c r="CX64">
        <f>Y64*Source!I34</f>
        <v>12.947249999999999</v>
      </c>
      <c r="CY64">
        <f>AD64</f>
        <v>0</v>
      </c>
      <c r="CZ64">
        <f>AH64</f>
        <v>0</v>
      </c>
      <c r="DA64">
        <f>AL64</f>
        <v>1</v>
      </c>
      <c r="DB64">
        <v>0</v>
      </c>
    </row>
    <row r="65" spans="1:106" ht="12.75">
      <c r="A65">
        <f>ROW(Source!A34)</f>
        <v>34</v>
      </c>
      <c r="B65">
        <v>26917020</v>
      </c>
      <c r="C65">
        <v>27149450</v>
      </c>
      <c r="D65">
        <v>24265924</v>
      </c>
      <c r="E65">
        <v>1</v>
      </c>
      <c r="F65">
        <v>1</v>
      </c>
      <c r="G65">
        <v>1</v>
      </c>
      <c r="H65">
        <v>2</v>
      </c>
      <c r="I65" t="s">
        <v>314</v>
      </c>
      <c r="J65" t="s">
        <v>315</v>
      </c>
      <c r="K65" t="s">
        <v>316</v>
      </c>
      <c r="L65">
        <v>1368</v>
      </c>
      <c r="N65">
        <v>1011</v>
      </c>
      <c r="O65" t="s">
        <v>238</v>
      </c>
      <c r="P65" t="s">
        <v>238</v>
      </c>
      <c r="Q65">
        <v>1</v>
      </c>
      <c r="W65">
        <v>0</v>
      </c>
      <c r="X65">
        <v>2138795948</v>
      </c>
      <c r="Y65">
        <v>0.015</v>
      </c>
      <c r="AA65">
        <v>0</v>
      </c>
      <c r="AB65">
        <v>492.75</v>
      </c>
      <c r="AC65">
        <v>0</v>
      </c>
      <c r="AD65">
        <v>0</v>
      </c>
      <c r="AE65">
        <v>0</v>
      </c>
      <c r="AF65">
        <v>492.75</v>
      </c>
      <c r="AG65">
        <v>0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0</v>
      </c>
      <c r="AP65">
        <v>1</v>
      </c>
      <c r="AQ65">
        <v>1</v>
      </c>
      <c r="AR65">
        <v>0</v>
      </c>
      <c r="AT65">
        <v>0.01</v>
      </c>
      <c r="AU65" t="s">
        <v>37</v>
      </c>
      <c r="AV65">
        <v>0</v>
      </c>
      <c r="AW65">
        <v>2</v>
      </c>
      <c r="AX65">
        <v>27149463</v>
      </c>
      <c r="AY65">
        <v>2</v>
      </c>
      <c r="AZ65">
        <v>98304</v>
      </c>
      <c r="BA65">
        <v>72</v>
      </c>
      <c r="BB65">
        <v>1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4.9275</v>
      </c>
      <c r="BL65">
        <v>0</v>
      </c>
      <c r="BM65">
        <v>0</v>
      </c>
      <c r="BN65">
        <v>0</v>
      </c>
      <c r="BO65">
        <v>0</v>
      </c>
      <c r="BP65">
        <v>1</v>
      </c>
      <c r="BQ65">
        <v>0</v>
      </c>
      <c r="BR65">
        <v>7.391249999999999</v>
      </c>
      <c r="BS65">
        <v>0</v>
      </c>
      <c r="BT65">
        <v>0</v>
      </c>
      <c r="BU65">
        <v>0</v>
      </c>
      <c r="BV65">
        <v>0</v>
      </c>
      <c r="BW65">
        <v>1</v>
      </c>
      <c r="CX65">
        <f>Y65*Source!I34</f>
        <v>2.58945</v>
      </c>
      <c r="CY65">
        <f>AB65</f>
        <v>492.75</v>
      </c>
      <c r="CZ65">
        <f>AF65</f>
        <v>492.75</v>
      </c>
      <c r="DA65">
        <f>AJ65</f>
        <v>1</v>
      </c>
      <c r="DB65">
        <v>0</v>
      </c>
    </row>
    <row r="66" spans="1:106" ht="12.75">
      <c r="A66">
        <f>ROW(Source!A34)</f>
        <v>34</v>
      </c>
      <c r="B66">
        <v>26917020</v>
      </c>
      <c r="C66">
        <v>27149450</v>
      </c>
      <c r="D66">
        <v>24313971</v>
      </c>
      <c r="E66">
        <v>1</v>
      </c>
      <c r="F66">
        <v>1</v>
      </c>
      <c r="G66">
        <v>1</v>
      </c>
      <c r="H66">
        <v>2</v>
      </c>
      <c r="I66" t="s">
        <v>334</v>
      </c>
      <c r="J66" t="s">
        <v>335</v>
      </c>
      <c r="K66" t="s">
        <v>336</v>
      </c>
      <c r="L66">
        <v>1368</v>
      </c>
      <c r="N66">
        <v>1011</v>
      </c>
      <c r="O66" t="s">
        <v>238</v>
      </c>
      <c r="P66" t="s">
        <v>238</v>
      </c>
      <c r="Q66">
        <v>1</v>
      </c>
      <c r="W66">
        <v>0</v>
      </c>
      <c r="X66">
        <v>-1768163559</v>
      </c>
      <c r="Y66">
        <v>0.06</v>
      </c>
      <c r="AA66">
        <v>0</v>
      </c>
      <c r="AB66">
        <v>149.05</v>
      </c>
      <c r="AC66">
        <v>0</v>
      </c>
      <c r="AD66">
        <v>0</v>
      </c>
      <c r="AE66">
        <v>0</v>
      </c>
      <c r="AF66">
        <v>149.05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0</v>
      </c>
      <c r="AP66">
        <v>1</v>
      </c>
      <c r="AQ66">
        <v>1</v>
      </c>
      <c r="AR66">
        <v>0</v>
      </c>
      <c r="AT66">
        <v>0.04</v>
      </c>
      <c r="AU66" t="s">
        <v>37</v>
      </c>
      <c r="AV66">
        <v>0</v>
      </c>
      <c r="AW66">
        <v>2</v>
      </c>
      <c r="AX66">
        <v>27149464</v>
      </c>
      <c r="AY66">
        <v>2</v>
      </c>
      <c r="AZ66">
        <v>98304</v>
      </c>
      <c r="BA66">
        <v>73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5.962000000000001</v>
      </c>
      <c r="BL66">
        <v>0</v>
      </c>
      <c r="BM66">
        <v>0</v>
      </c>
      <c r="BN66">
        <v>0</v>
      </c>
      <c r="BO66">
        <v>0</v>
      </c>
      <c r="BP66">
        <v>1</v>
      </c>
      <c r="BQ66">
        <v>0</v>
      </c>
      <c r="BR66">
        <v>8.943</v>
      </c>
      <c r="BS66">
        <v>0</v>
      </c>
      <c r="BT66">
        <v>0</v>
      </c>
      <c r="BU66">
        <v>0</v>
      </c>
      <c r="BV66">
        <v>0</v>
      </c>
      <c r="BW66">
        <v>1</v>
      </c>
      <c r="CX66">
        <f>Y66*Source!I34</f>
        <v>10.3578</v>
      </c>
      <c r="CY66">
        <f>AB66</f>
        <v>149.05</v>
      </c>
      <c r="CZ66">
        <f>AF66</f>
        <v>149.05</v>
      </c>
      <c r="DA66">
        <f>AJ66</f>
        <v>1</v>
      </c>
      <c r="DB66">
        <v>0</v>
      </c>
    </row>
    <row r="67" spans="1:106" ht="12.75">
      <c r="A67">
        <f>ROW(Source!A34)</f>
        <v>34</v>
      </c>
      <c r="B67">
        <v>26917020</v>
      </c>
      <c r="C67">
        <v>27149450</v>
      </c>
      <c r="D67">
        <v>24262102</v>
      </c>
      <c r="E67">
        <v>1</v>
      </c>
      <c r="F67">
        <v>1</v>
      </c>
      <c r="G67">
        <v>1</v>
      </c>
      <c r="H67">
        <v>2</v>
      </c>
      <c r="I67" t="s">
        <v>277</v>
      </c>
      <c r="J67" t="s">
        <v>278</v>
      </c>
      <c r="K67" t="s">
        <v>279</v>
      </c>
      <c r="L67">
        <v>1368</v>
      </c>
      <c r="N67">
        <v>1011</v>
      </c>
      <c r="O67" t="s">
        <v>238</v>
      </c>
      <c r="P67" t="s">
        <v>238</v>
      </c>
      <c r="Q67">
        <v>1</v>
      </c>
      <c r="W67">
        <v>0</v>
      </c>
      <c r="X67">
        <v>596191924</v>
      </c>
      <c r="Y67">
        <v>0.015</v>
      </c>
      <c r="AA67">
        <v>0</v>
      </c>
      <c r="AB67">
        <v>698.33</v>
      </c>
      <c r="AC67">
        <v>0</v>
      </c>
      <c r="AD67">
        <v>0</v>
      </c>
      <c r="AE67">
        <v>0</v>
      </c>
      <c r="AF67">
        <v>698.33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0</v>
      </c>
      <c r="AP67">
        <v>1</v>
      </c>
      <c r="AQ67">
        <v>1</v>
      </c>
      <c r="AR67">
        <v>0</v>
      </c>
      <c r="AT67">
        <v>0.01</v>
      </c>
      <c r="AU67" t="s">
        <v>37</v>
      </c>
      <c r="AV67">
        <v>0</v>
      </c>
      <c r="AW67">
        <v>2</v>
      </c>
      <c r="AX67">
        <v>27149465</v>
      </c>
      <c r="AY67">
        <v>2</v>
      </c>
      <c r="AZ67">
        <v>98304</v>
      </c>
      <c r="BA67">
        <v>74</v>
      </c>
      <c r="BB67">
        <v>1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6.983300000000001</v>
      </c>
      <c r="BL67">
        <v>0</v>
      </c>
      <c r="BM67">
        <v>0</v>
      </c>
      <c r="BN67">
        <v>0</v>
      </c>
      <c r="BO67">
        <v>0</v>
      </c>
      <c r="BP67">
        <v>1</v>
      </c>
      <c r="BQ67">
        <v>0</v>
      </c>
      <c r="BR67">
        <v>10.47495</v>
      </c>
      <c r="BS67">
        <v>0</v>
      </c>
      <c r="BT67">
        <v>0</v>
      </c>
      <c r="BU67">
        <v>0</v>
      </c>
      <c r="BV67">
        <v>0</v>
      </c>
      <c r="BW67">
        <v>1</v>
      </c>
      <c r="CX67">
        <f>Y67*Source!I34</f>
        <v>2.58945</v>
      </c>
      <c r="CY67">
        <f>AB67</f>
        <v>698.33</v>
      </c>
      <c r="CZ67">
        <f>AF67</f>
        <v>698.33</v>
      </c>
      <c r="DA67">
        <f>AJ67</f>
        <v>1</v>
      </c>
      <c r="DB67">
        <v>0</v>
      </c>
    </row>
    <row r="68" spans="1:106" ht="12.75">
      <c r="A68">
        <f>ROW(Source!A34)</f>
        <v>34</v>
      </c>
      <c r="B68">
        <v>26917020</v>
      </c>
      <c r="C68">
        <v>27149450</v>
      </c>
      <c r="D68">
        <v>24323079</v>
      </c>
      <c r="E68">
        <v>1</v>
      </c>
      <c r="F68">
        <v>1</v>
      </c>
      <c r="G68">
        <v>1</v>
      </c>
      <c r="H68">
        <v>3</v>
      </c>
      <c r="I68" t="s">
        <v>352</v>
      </c>
      <c r="J68" t="s">
        <v>353</v>
      </c>
      <c r="K68" t="s">
        <v>354</v>
      </c>
      <c r="L68">
        <v>1348</v>
      </c>
      <c r="N68">
        <v>1009</v>
      </c>
      <c r="O68" t="s">
        <v>115</v>
      </c>
      <c r="P68" t="s">
        <v>115</v>
      </c>
      <c r="Q68">
        <v>1000</v>
      </c>
      <c r="W68">
        <v>0</v>
      </c>
      <c r="X68">
        <v>2016411689</v>
      </c>
      <c r="Y68">
        <v>7E-05</v>
      </c>
      <c r="AA68">
        <v>132200</v>
      </c>
      <c r="AB68">
        <v>0</v>
      </c>
      <c r="AC68">
        <v>0</v>
      </c>
      <c r="AD68">
        <v>0</v>
      </c>
      <c r="AE68">
        <v>132200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0</v>
      </c>
      <c r="AP68">
        <v>0</v>
      </c>
      <c r="AQ68">
        <v>1</v>
      </c>
      <c r="AR68">
        <v>0</v>
      </c>
      <c r="AT68">
        <v>7E-05</v>
      </c>
      <c r="AV68">
        <v>0</v>
      </c>
      <c r="AW68">
        <v>2</v>
      </c>
      <c r="AX68">
        <v>27149467</v>
      </c>
      <c r="AY68">
        <v>2</v>
      </c>
      <c r="AZ68">
        <v>16384</v>
      </c>
      <c r="BA68">
        <v>76</v>
      </c>
      <c r="BB68">
        <v>1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9.254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1</v>
      </c>
      <c r="BQ68">
        <v>9.254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1</v>
      </c>
      <c r="CX68">
        <f>Y68*Source!I34</f>
        <v>0.012084099999999999</v>
      </c>
      <c r="CY68">
        <f>AA68</f>
        <v>132200</v>
      </c>
      <c r="CZ68">
        <f>AE68</f>
        <v>132200</v>
      </c>
      <c r="DA68">
        <f>AI68</f>
        <v>1</v>
      </c>
      <c r="DB68">
        <v>0</v>
      </c>
    </row>
    <row r="69" spans="1:106" ht="12.75">
      <c r="A69">
        <f>ROW(Source!A34)</f>
        <v>34</v>
      </c>
      <c r="B69">
        <v>26917020</v>
      </c>
      <c r="C69">
        <v>27149450</v>
      </c>
      <c r="D69">
        <v>24323720</v>
      </c>
      <c r="E69">
        <v>1</v>
      </c>
      <c r="F69">
        <v>1</v>
      </c>
      <c r="G69">
        <v>1</v>
      </c>
      <c r="H69">
        <v>3</v>
      </c>
      <c r="I69" t="s">
        <v>355</v>
      </c>
      <c r="J69" t="s">
        <v>356</v>
      </c>
      <c r="K69" t="s">
        <v>357</v>
      </c>
      <c r="L69">
        <v>1348</v>
      </c>
      <c r="N69">
        <v>1009</v>
      </c>
      <c r="O69" t="s">
        <v>115</v>
      </c>
      <c r="P69" t="s">
        <v>115</v>
      </c>
      <c r="Q69">
        <v>1000</v>
      </c>
      <c r="W69">
        <v>0</v>
      </c>
      <c r="X69">
        <v>-1188812599</v>
      </c>
      <c r="Y69">
        <v>5E-05</v>
      </c>
      <c r="AA69">
        <v>658043.5</v>
      </c>
      <c r="AB69">
        <v>0</v>
      </c>
      <c r="AC69">
        <v>0</v>
      </c>
      <c r="AD69">
        <v>0</v>
      </c>
      <c r="AE69">
        <v>658043.5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0</v>
      </c>
      <c r="AP69">
        <v>0</v>
      </c>
      <c r="AQ69">
        <v>1</v>
      </c>
      <c r="AR69">
        <v>0</v>
      </c>
      <c r="AT69">
        <v>5E-05</v>
      </c>
      <c r="AV69">
        <v>0</v>
      </c>
      <c r="AW69">
        <v>2</v>
      </c>
      <c r="AX69">
        <v>27149468</v>
      </c>
      <c r="AY69">
        <v>2</v>
      </c>
      <c r="AZ69">
        <v>16384</v>
      </c>
      <c r="BA69">
        <v>77</v>
      </c>
      <c r="BB69">
        <v>1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32.902175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1</v>
      </c>
      <c r="BQ69">
        <v>32.902175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1</v>
      </c>
      <c r="CX69">
        <f>Y69*Source!I34</f>
        <v>0.0086315</v>
      </c>
      <c r="CY69">
        <f>AA69</f>
        <v>658043.5</v>
      </c>
      <c r="CZ69">
        <f>AE69</f>
        <v>658043.5</v>
      </c>
      <c r="DA69">
        <f>AI69</f>
        <v>1</v>
      </c>
      <c r="DB69">
        <v>0</v>
      </c>
    </row>
    <row r="70" spans="1:106" ht="12.75">
      <c r="A70">
        <f>ROW(Source!A34)</f>
        <v>34</v>
      </c>
      <c r="B70">
        <v>26917020</v>
      </c>
      <c r="C70">
        <v>27149450</v>
      </c>
      <c r="D70">
        <v>24330608</v>
      </c>
      <c r="E70">
        <v>1</v>
      </c>
      <c r="F70">
        <v>1</v>
      </c>
      <c r="G70">
        <v>1</v>
      </c>
      <c r="H70">
        <v>3</v>
      </c>
      <c r="I70" t="s">
        <v>358</v>
      </c>
      <c r="J70" t="s">
        <v>359</v>
      </c>
      <c r="K70" t="s">
        <v>360</v>
      </c>
      <c r="L70">
        <v>1348</v>
      </c>
      <c r="N70">
        <v>1009</v>
      </c>
      <c r="O70" t="s">
        <v>115</v>
      </c>
      <c r="P70" t="s">
        <v>115</v>
      </c>
      <c r="Q70">
        <v>1000</v>
      </c>
      <c r="W70">
        <v>0</v>
      </c>
      <c r="X70">
        <v>-774022363</v>
      </c>
      <c r="Y70">
        <v>0.0005</v>
      </c>
      <c r="AA70">
        <v>498000</v>
      </c>
      <c r="AB70">
        <v>0</v>
      </c>
      <c r="AC70">
        <v>0</v>
      </c>
      <c r="AD70">
        <v>0</v>
      </c>
      <c r="AE70">
        <v>498000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0</v>
      </c>
      <c r="AP70">
        <v>0</v>
      </c>
      <c r="AQ70">
        <v>1</v>
      </c>
      <c r="AR70">
        <v>0</v>
      </c>
      <c r="AT70">
        <v>0.0005</v>
      </c>
      <c r="AV70">
        <v>0</v>
      </c>
      <c r="AW70">
        <v>2</v>
      </c>
      <c r="AX70">
        <v>27149469</v>
      </c>
      <c r="AY70">
        <v>2</v>
      </c>
      <c r="AZ70">
        <v>16384</v>
      </c>
      <c r="BA70">
        <v>78</v>
      </c>
      <c r="BB70">
        <v>1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249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1</v>
      </c>
      <c r="BQ70">
        <v>249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1</v>
      </c>
      <c r="CX70">
        <f>Y70*Source!I34</f>
        <v>0.086315</v>
      </c>
      <c r="CY70">
        <f>AA70</f>
        <v>498000</v>
      </c>
      <c r="CZ70">
        <f>AE70</f>
        <v>498000</v>
      </c>
      <c r="DA70">
        <f>AI70</f>
        <v>1</v>
      </c>
      <c r="DB70">
        <v>0</v>
      </c>
    </row>
    <row r="71" spans="1:106" ht="12.75">
      <c r="A71">
        <f>ROW(Source!A34)</f>
        <v>34</v>
      </c>
      <c r="B71">
        <v>26917020</v>
      </c>
      <c r="C71">
        <v>27149450</v>
      </c>
      <c r="D71">
        <v>24330556</v>
      </c>
      <c r="E71">
        <v>1</v>
      </c>
      <c r="F71">
        <v>1</v>
      </c>
      <c r="G71">
        <v>1</v>
      </c>
      <c r="H71">
        <v>3</v>
      </c>
      <c r="I71" t="s">
        <v>349</v>
      </c>
      <c r="J71" t="s">
        <v>350</v>
      </c>
      <c r="K71" t="s">
        <v>351</v>
      </c>
      <c r="L71">
        <v>1348</v>
      </c>
      <c r="N71">
        <v>1009</v>
      </c>
      <c r="O71" t="s">
        <v>115</v>
      </c>
      <c r="P71" t="s">
        <v>115</v>
      </c>
      <c r="Q71">
        <v>1000</v>
      </c>
      <c r="W71">
        <v>0</v>
      </c>
      <c r="X71">
        <v>-494962278</v>
      </c>
      <c r="Y71">
        <v>0.00012</v>
      </c>
      <c r="AA71">
        <v>16798.8</v>
      </c>
      <c r="AB71">
        <v>0</v>
      </c>
      <c r="AC71">
        <v>0</v>
      </c>
      <c r="AD71">
        <v>0</v>
      </c>
      <c r="AE71">
        <v>16798.8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0</v>
      </c>
      <c r="AP71">
        <v>1</v>
      </c>
      <c r="AQ71">
        <v>1</v>
      </c>
      <c r="AR71">
        <v>0</v>
      </c>
      <c r="AT71">
        <v>0.00012</v>
      </c>
      <c r="AV71">
        <v>0</v>
      </c>
      <c r="AW71">
        <v>2</v>
      </c>
      <c r="AX71">
        <v>27149470</v>
      </c>
      <c r="AY71">
        <v>2</v>
      </c>
      <c r="AZ71">
        <v>16384</v>
      </c>
      <c r="BA71">
        <v>79</v>
      </c>
      <c r="BB71">
        <v>1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2.015856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1</v>
      </c>
      <c r="BQ71">
        <v>2.015856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1</v>
      </c>
      <c r="CX71">
        <f>Y71*Source!I34</f>
        <v>0.0207156</v>
      </c>
      <c r="CY71">
        <f>AA71</f>
        <v>16798.8</v>
      </c>
      <c r="CZ71">
        <f>AE71</f>
        <v>16798.8</v>
      </c>
      <c r="DA71">
        <f>AI71</f>
        <v>1</v>
      </c>
      <c r="DB71">
        <v>0</v>
      </c>
    </row>
    <row r="72" spans="1:106" ht="12.75">
      <c r="A72">
        <f>ROW(Source!A34)</f>
        <v>34</v>
      </c>
      <c r="B72">
        <v>26917020</v>
      </c>
      <c r="C72">
        <v>27149450</v>
      </c>
      <c r="D72">
        <v>24323719</v>
      </c>
      <c r="E72">
        <v>1</v>
      </c>
      <c r="F72">
        <v>1</v>
      </c>
      <c r="G72">
        <v>1</v>
      </c>
      <c r="H72">
        <v>3</v>
      </c>
      <c r="I72" t="s">
        <v>361</v>
      </c>
      <c r="J72" t="s">
        <v>362</v>
      </c>
      <c r="K72" t="s">
        <v>363</v>
      </c>
      <c r="L72">
        <v>1348</v>
      </c>
      <c r="N72">
        <v>1009</v>
      </c>
      <c r="O72" t="s">
        <v>115</v>
      </c>
      <c r="P72" t="s">
        <v>115</v>
      </c>
      <c r="Q72">
        <v>1000</v>
      </c>
      <c r="W72">
        <v>0</v>
      </c>
      <c r="X72">
        <v>-1951853478</v>
      </c>
      <c r="Y72">
        <v>5E-05</v>
      </c>
      <c r="AA72">
        <v>350700.9</v>
      </c>
      <c r="AB72">
        <v>0</v>
      </c>
      <c r="AC72">
        <v>0</v>
      </c>
      <c r="AD72">
        <v>0</v>
      </c>
      <c r="AE72">
        <v>350700.9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0</v>
      </c>
      <c r="AP72">
        <v>0</v>
      </c>
      <c r="AQ72">
        <v>1</v>
      </c>
      <c r="AR72">
        <v>0</v>
      </c>
      <c r="AT72">
        <v>5E-05</v>
      </c>
      <c r="AV72">
        <v>0</v>
      </c>
      <c r="AW72">
        <v>2</v>
      </c>
      <c r="AX72">
        <v>27149471</v>
      </c>
      <c r="AY72">
        <v>2</v>
      </c>
      <c r="AZ72">
        <v>16384</v>
      </c>
      <c r="BA72">
        <v>80</v>
      </c>
      <c r="BB72">
        <v>1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17.535045000000004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1</v>
      </c>
      <c r="BQ72">
        <v>17.535045000000004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1</v>
      </c>
      <c r="CX72">
        <f>Y72*Source!I34</f>
        <v>0.0086315</v>
      </c>
      <c r="CY72">
        <f>AA72</f>
        <v>350700.9</v>
      </c>
      <c r="CZ72">
        <f>AE72</f>
        <v>350700.9</v>
      </c>
      <c r="DA72">
        <f>AI72</f>
        <v>1</v>
      </c>
      <c r="DB72">
        <v>0</v>
      </c>
    </row>
    <row r="73" spans="1:106" ht="12.75">
      <c r="A73">
        <f>ROW(Source!A35)</f>
        <v>35</v>
      </c>
      <c r="B73">
        <v>26917020</v>
      </c>
      <c r="C73">
        <v>26952383</v>
      </c>
      <c r="D73">
        <v>9430554</v>
      </c>
      <c r="E73">
        <v>1</v>
      </c>
      <c r="F73">
        <v>1</v>
      </c>
      <c r="G73">
        <v>1</v>
      </c>
      <c r="H73">
        <v>1</v>
      </c>
      <c r="I73" t="s">
        <v>364</v>
      </c>
      <c r="K73" t="s">
        <v>365</v>
      </c>
      <c r="L73">
        <v>1369</v>
      </c>
      <c r="N73">
        <v>1013</v>
      </c>
      <c r="O73" t="s">
        <v>232</v>
      </c>
      <c r="P73" t="s">
        <v>232</v>
      </c>
      <c r="Q73">
        <v>1</v>
      </c>
      <c r="W73">
        <v>0</v>
      </c>
      <c r="X73">
        <v>69794526</v>
      </c>
      <c r="Y73">
        <v>214.32</v>
      </c>
      <c r="AA73">
        <v>0</v>
      </c>
      <c r="AB73">
        <v>0</v>
      </c>
      <c r="AC73">
        <v>0</v>
      </c>
      <c r="AD73">
        <v>106.95</v>
      </c>
      <c r="AE73">
        <v>0</v>
      </c>
      <c r="AF73">
        <v>0</v>
      </c>
      <c r="AG73">
        <v>0</v>
      </c>
      <c r="AH73">
        <v>106.95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0</v>
      </c>
      <c r="AP73">
        <v>0</v>
      </c>
      <c r="AQ73">
        <v>1</v>
      </c>
      <c r="AR73">
        <v>0</v>
      </c>
      <c r="AT73">
        <v>214.32</v>
      </c>
      <c r="AV73">
        <v>1</v>
      </c>
      <c r="AW73">
        <v>2</v>
      </c>
      <c r="AX73">
        <v>26952386</v>
      </c>
      <c r="AY73">
        <v>2</v>
      </c>
      <c r="AZ73">
        <v>131072</v>
      </c>
      <c r="BA73">
        <v>81</v>
      </c>
      <c r="BB73">
        <v>1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22921.524</v>
      </c>
      <c r="BN73">
        <v>214.32</v>
      </c>
      <c r="BO73">
        <v>0</v>
      </c>
      <c r="BP73">
        <v>1</v>
      </c>
      <c r="BQ73">
        <v>0</v>
      </c>
      <c r="BR73">
        <v>0</v>
      </c>
      <c r="BS73">
        <v>0</v>
      </c>
      <c r="BT73">
        <v>22921.524</v>
      </c>
      <c r="BU73">
        <v>214.32</v>
      </c>
      <c r="BV73">
        <v>0</v>
      </c>
      <c r="BW73">
        <v>1</v>
      </c>
      <c r="CX73">
        <f>Y73*Source!I35</f>
        <v>67.5108</v>
      </c>
      <c r="CY73">
        <f>AD73</f>
        <v>106.95</v>
      </c>
      <c r="CZ73">
        <f>AH73</f>
        <v>106.95</v>
      </c>
      <c r="DA73">
        <f>AL73</f>
        <v>1</v>
      </c>
      <c r="DB73">
        <v>0</v>
      </c>
    </row>
    <row r="74" spans="1:106" ht="12.75">
      <c r="A74">
        <f>ROW(Source!A35)</f>
        <v>35</v>
      </c>
      <c r="B74">
        <v>26917020</v>
      </c>
      <c r="C74">
        <v>26952383</v>
      </c>
      <c r="D74">
        <v>21518261</v>
      </c>
      <c r="E74">
        <v>1</v>
      </c>
      <c r="F74">
        <v>1</v>
      </c>
      <c r="G74">
        <v>1</v>
      </c>
      <c r="H74">
        <v>3</v>
      </c>
      <c r="I74" t="s">
        <v>247</v>
      </c>
      <c r="J74" t="s">
        <v>366</v>
      </c>
      <c r="K74" t="s">
        <v>249</v>
      </c>
      <c r="L74">
        <v>1348</v>
      </c>
      <c r="N74">
        <v>1009</v>
      </c>
      <c r="O74" t="s">
        <v>115</v>
      </c>
      <c r="P74" t="s">
        <v>115</v>
      </c>
      <c r="Q74">
        <v>1000</v>
      </c>
      <c r="W74">
        <v>0</v>
      </c>
      <c r="X74">
        <v>-2126869214</v>
      </c>
      <c r="Y74">
        <v>100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0</v>
      </c>
      <c r="AP74">
        <v>0</v>
      </c>
      <c r="AQ74">
        <v>1</v>
      </c>
      <c r="AR74">
        <v>0</v>
      </c>
      <c r="AT74">
        <v>100</v>
      </c>
      <c r="AV74">
        <v>0</v>
      </c>
      <c r="AW74">
        <v>2</v>
      </c>
      <c r="AX74">
        <v>26952387</v>
      </c>
      <c r="AY74">
        <v>1</v>
      </c>
      <c r="AZ74">
        <v>0</v>
      </c>
      <c r="BA74">
        <v>82</v>
      </c>
      <c r="BB74">
        <v>1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Y74*Source!I35</f>
        <v>31.5</v>
      </c>
      <c r="CY74">
        <f>AA74</f>
        <v>0</v>
      </c>
      <c r="CZ74">
        <f>AE74</f>
        <v>0</v>
      </c>
      <c r="DA74">
        <f>AI74</f>
        <v>1</v>
      </c>
      <c r="DB74">
        <v>0</v>
      </c>
    </row>
    <row r="75" spans="1:106" ht="12.75">
      <c r="A75">
        <f>ROW(Source!A36)</f>
        <v>36</v>
      </c>
      <c r="B75">
        <v>26917020</v>
      </c>
      <c r="C75">
        <v>26918942</v>
      </c>
      <c r="D75">
        <v>121548</v>
      </c>
      <c r="E75">
        <v>1</v>
      </c>
      <c r="F75">
        <v>1</v>
      </c>
      <c r="G75">
        <v>1</v>
      </c>
      <c r="H75">
        <v>1</v>
      </c>
      <c r="I75" t="s">
        <v>23</v>
      </c>
      <c r="K75" t="s">
        <v>233</v>
      </c>
      <c r="L75">
        <v>608254</v>
      </c>
      <c r="N75">
        <v>1013</v>
      </c>
      <c r="O75" t="s">
        <v>234</v>
      </c>
      <c r="P75" t="s">
        <v>234</v>
      </c>
      <c r="Q75">
        <v>1</v>
      </c>
      <c r="W75">
        <v>0</v>
      </c>
      <c r="X75">
        <v>-185737400</v>
      </c>
      <c r="Y75">
        <v>0.024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0</v>
      </c>
      <c r="AP75">
        <v>1</v>
      </c>
      <c r="AQ75">
        <v>1</v>
      </c>
      <c r="AR75">
        <v>0</v>
      </c>
      <c r="AT75">
        <v>0.024</v>
      </c>
      <c r="AV75">
        <v>2</v>
      </c>
      <c r="AW75">
        <v>2</v>
      </c>
      <c r="AX75">
        <v>26918945</v>
      </c>
      <c r="AY75">
        <v>1</v>
      </c>
      <c r="AZ75">
        <v>0</v>
      </c>
      <c r="BA75">
        <v>83</v>
      </c>
      <c r="BB75">
        <v>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0.024</v>
      </c>
      <c r="BP75">
        <v>1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0.024</v>
      </c>
      <c r="BW75">
        <v>1</v>
      </c>
      <c r="CX75">
        <f>Y75*Source!I36</f>
        <v>0.756</v>
      </c>
      <c r="CY75">
        <f>AD75</f>
        <v>0</v>
      </c>
      <c r="CZ75">
        <f>AH75</f>
        <v>0</v>
      </c>
      <c r="DA75">
        <f>AL75</f>
        <v>1</v>
      </c>
      <c r="DB75">
        <v>0</v>
      </c>
    </row>
    <row r="76" spans="1:106" ht="12.75">
      <c r="A76">
        <f>ROW(Source!A36)</f>
        <v>36</v>
      </c>
      <c r="B76">
        <v>26917020</v>
      </c>
      <c r="C76">
        <v>26918942</v>
      </c>
      <c r="D76">
        <v>1467629</v>
      </c>
      <c r="E76">
        <v>1</v>
      </c>
      <c r="F76">
        <v>1</v>
      </c>
      <c r="G76">
        <v>1</v>
      </c>
      <c r="H76">
        <v>2</v>
      </c>
      <c r="I76" t="s">
        <v>367</v>
      </c>
      <c r="J76" t="s">
        <v>368</v>
      </c>
      <c r="K76" t="s">
        <v>369</v>
      </c>
      <c r="L76">
        <v>1480</v>
      </c>
      <c r="N76">
        <v>1013</v>
      </c>
      <c r="O76" t="s">
        <v>370</v>
      </c>
      <c r="P76" t="s">
        <v>371</v>
      </c>
      <c r="Q76">
        <v>1</v>
      </c>
      <c r="W76">
        <v>0</v>
      </c>
      <c r="X76">
        <v>-2089524230</v>
      </c>
      <c r="Y76">
        <v>0.024</v>
      </c>
      <c r="AA76">
        <v>0</v>
      </c>
      <c r="AB76">
        <v>707.78</v>
      </c>
      <c r="AC76">
        <v>0</v>
      </c>
      <c r="AD76">
        <v>0</v>
      </c>
      <c r="AE76">
        <v>0</v>
      </c>
      <c r="AF76">
        <v>707.78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0</v>
      </c>
      <c r="AP76">
        <v>1</v>
      </c>
      <c r="AQ76">
        <v>1</v>
      </c>
      <c r="AR76">
        <v>0</v>
      </c>
      <c r="AT76">
        <v>0.024</v>
      </c>
      <c r="AV76">
        <v>0</v>
      </c>
      <c r="AW76">
        <v>2</v>
      </c>
      <c r="AX76">
        <v>26918946</v>
      </c>
      <c r="AY76">
        <v>2</v>
      </c>
      <c r="AZ76">
        <v>98304</v>
      </c>
      <c r="BA76">
        <v>84</v>
      </c>
      <c r="BB76">
        <v>1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16.98672</v>
      </c>
      <c r="BL76">
        <v>0</v>
      </c>
      <c r="BM76">
        <v>0</v>
      </c>
      <c r="BN76">
        <v>0</v>
      </c>
      <c r="BO76">
        <v>0</v>
      </c>
      <c r="BP76">
        <v>1</v>
      </c>
      <c r="BQ76">
        <v>0</v>
      </c>
      <c r="BR76">
        <v>16.98672</v>
      </c>
      <c r="BS76">
        <v>0</v>
      </c>
      <c r="BT76">
        <v>0</v>
      </c>
      <c r="BU76">
        <v>0</v>
      </c>
      <c r="BV76">
        <v>0</v>
      </c>
      <c r="BW76">
        <v>1</v>
      </c>
      <c r="CX76">
        <f>Y76*Source!I36</f>
        <v>0.756</v>
      </c>
      <c r="CY76">
        <f>AB76</f>
        <v>707.78</v>
      </c>
      <c r="CZ76">
        <f>AF76</f>
        <v>707.78</v>
      </c>
      <c r="DA76">
        <f>AJ76</f>
        <v>1</v>
      </c>
      <c r="DB76">
        <v>0</v>
      </c>
    </row>
    <row r="77" spans="1:106" ht="12.75">
      <c r="A77">
        <f>ROW(Source!A37)</f>
        <v>37</v>
      </c>
      <c r="B77">
        <v>26917020</v>
      </c>
      <c r="C77">
        <v>26918947</v>
      </c>
      <c r="D77">
        <v>0</v>
      </c>
      <c r="E77">
        <v>0</v>
      </c>
      <c r="F77">
        <v>1</v>
      </c>
      <c r="G77">
        <v>1</v>
      </c>
      <c r="H77">
        <v>2</v>
      </c>
      <c r="K77" t="s">
        <v>372</v>
      </c>
      <c r="L77">
        <v>1368</v>
      </c>
      <c r="N77">
        <v>1011</v>
      </c>
      <c r="O77" t="s">
        <v>238</v>
      </c>
      <c r="P77" t="s">
        <v>238</v>
      </c>
      <c r="Q77">
        <v>1</v>
      </c>
      <c r="W77">
        <v>0</v>
      </c>
      <c r="X77">
        <v>1613438681</v>
      </c>
      <c r="Y77">
        <v>1.518</v>
      </c>
      <c r="AA77">
        <v>0</v>
      </c>
      <c r="AB77">
        <v>117.36</v>
      </c>
      <c r="AC77">
        <v>0</v>
      </c>
      <c r="AD77">
        <v>0</v>
      </c>
      <c r="AE77">
        <v>0</v>
      </c>
      <c r="AF77">
        <v>117.36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0</v>
      </c>
      <c r="AP77">
        <v>1</v>
      </c>
      <c r="AQ77">
        <v>1</v>
      </c>
      <c r="AR77">
        <v>0</v>
      </c>
      <c r="AT77">
        <v>1.518</v>
      </c>
      <c r="AV77">
        <v>0</v>
      </c>
      <c r="AW77">
        <v>1</v>
      </c>
      <c r="AX77">
        <v>-1</v>
      </c>
      <c r="AY77">
        <v>0</v>
      </c>
      <c r="AZ77">
        <v>0</v>
      </c>
      <c r="BB77">
        <v>1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178.15248</v>
      </c>
      <c r="BL77">
        <v>0</v>
      </c>
      <c r="BM77">
        <v>0</v>
      </c>
      <c r="BN77">
        <v>0</v>
      </c>
      <c r="BO77">
        <v>0</v>
      </c>
      <c r="BP77">
        <v>1</v>
      </c>
      <c r="BQ77">
        <v>0</v>
      </c>
      <c r="BR77">
        <v>178.15248</v>
      </c>
      <c r="BS77">
        <v>0</v>
      </c>
      <c r="BT77">
        <v>0</v>
      </c>
      <c r="BU77">
        <v>0</v>
      </c>
      <c r="BV77">
        <v>0</v>
      </c>
      <c r="BW77">
        <v>1</v>
      </c>
      <c r="CX77">
        <f>Y77*Source!I37</f>
        <v>47.817</v>
      </c>
      <c r="CY77">
        <f>AB77</f>
        <v>117.36</v>
      </c>
      <c r="CZ77">
        <f>AF77</f>
        <v>117.36</v>
      </c>
      <c r="DA77">
        <f>AJ77</f>
        <v>1</v>
      </c>
      <c r="DB77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R8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ROW(Source!A24)</f>
        <v>24</v>
      </c>
      <c r="B1">
        <v>26918665</v>
      </c>
      <c r="C1">
        <v>26918660</v>
      </c>
      <c r="D1">
        <v>9415385</v>
      </c>
      <c r="E1">
        <v>1</v>
      </c>
      <c r="F1">
        <v>1</v>
      </c>
      <c r="G1">
        <v>1</v>
      </c>
      <c r="H1">
        <v>1</v>
      </c>
      <c r="I1" t="s">
        <v>230</v>
      </c>
      <c r="K1" t="s">
        <v>231</v>
      </c>
      <c r="L1">
        <v>1369</v>
      </c>
      <c r="N1">
        <v>1013</v>
      </c>
      <c r="O1" t="s">
        <v>232</v>
      </c>
      <c r="P1" t="s">
        <v>232</v>
      </c>
      <c r="Q1">
        <v>1</v>
      </c>
      <c r="X1">
        <v>152.89</v>
      </c>
      <c r="Y1">
        <v>0</v>
      </c>
      <c r="Z1">
        <v>0</v>
      </c>
      <c r="AA1">
        <v>0</v>
      </c>
      <c r="AB1">
        <v>9.4</v>
      </c>
      <c r="AC1">
        <v>0</v>
      </c>
      <c r="AD1">
        <v>1</v>
      </c>
      <c r="AE1">
        <v>1</v>
      </c>
      <c r="AG1">
        <v>152.89</v>
      </c>
      <c r="AH1">
        <v>2</v>
      </c>
      <c r="AI1">
        <v>26918661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ROW(Source!A24)</f>
        <v>24</v>
      </c>
      <c r="B2">
        <v>26918666</v>
      </c>
      <c r="C2">
        <v>26918660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23</v>
      </c>
      <c r="K2" t="s">
        <v>233</v>
      </c>
      <c r="L2">
        <v>608254</v>
      </c>
      <c r="N2">
        <v>1013</v>
      </c>
      <c r="O2" t="s">
        <v>234</v>
      </c>
      <c r="P2" t="s">
        <v>234</v>
      </c>
      <c r="Q2">
        <v>1</v>
      </c>
      <c r="X2">
        <v>1.91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G2">
        <v>1.91</v>
      </c>
      <c r="AH2">
        <v>2</v>
      </c>
      <c r="AI2">
        <v>26918662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ROW(Source!A24)</f>
        <v>24</v>
      </c>
      <c r="B3">
        <v>26918667</v>
      </c>
      <c r="C3">
        <v>26918660</v>
      </c>
      <c r="D3">
        <v>24267967</v>
      </c>
      <c r="E3">
        <v>1</v>
      </c>
      <c r="F3">
        <v>1</v>
      </c>
      <c r="G3">
        <v>1</v>
      </c>
      <c r="H3">
        <v>2</v>
      </c>
      <c r="I3" t="s">
        <v>235</v>
      </c>
      <c r="J3" t="s">
        <v>236</v>
      </c>
      <c r="K3" t="s">
        <v>237</v>
      </c>
      <c r="L3">
        <v>1368</v>
      </c>
      <c r="N3">
        <v>1011</v>
      </c>
      <c r="O3" t="s">
        <v>238</v>
      </c>
      <c r="P3" t="s">
        <v>238</v>
      </c>
      <c r="Q3">
        <v>1</v>
      </c>
      <c r="X3">
        <v>1.91</v>
      </c>
      <c r="Y3">
        <v>0</v>
      </c>
      <c r="Z3">
        <v>90</v>
      </c>
      <c r="AA3">
        <v>10.06</v>
      </c>
      <c r="AB3">
        <v>0</v>
      </c>
      <c r="AC3">
        <v>0</v>
      </c>
      <c r="AD3">
        <v>1</v>
      </c>
      <c r="AE3">
        <v>0</v>
      </c>
      <c r="AG3">
        <v>1.91</v>
      </c>
      <c r="AH3">
        <v>2</v>
      </c>
      <c r="AI3">
        <v>26918663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ROW(Source!A24)</f>
        <v>24</v>
      </c>
      <c r="B4">
        <v>26918668</v>
      </c>
      <c r="C4">
        <v>26918660</v>
      </c>
      <c r="D4">
        <v>24268931</v>
      </c>
      <c r="E4">
        <v>1</v>
      </c>
      <c r="F4">
        <v>1</v>
      </c>
      <c r="G4">
        <v>1</v>
      </c>
      <c r="H4">
        <v>2</v>
      </c>
      <c r="I4" t="s">
        <v>239</v>
      </c>
      <c r="J4" t="s">
        <v>240</v>
      </c>
      <c r="K4" t="s">
        <v>241</v>
      </c>
      <c r="L4">
        <v>1368</v>
      </c>
      <c r="N4">
        <v>1011</v>
      </c>
      <c r="O4" t="s">
        <v>238</v>
      </c>
      <c r="P4" t="s">
        <v>238</v>
      </c>
      <c r="Q4">
        <v>1</v>
      </c>
      <c r="X4">
        <v>3.82</v>
      </c>
      <c r="Y4">
        <v>0</v>
      </c>
      <c r="Z4">
        <v>1.53</v>
      </c>
      <c r="AA4">
        <v>0</v>
      </c>
      <c r="AB4">
        <v>0</v>
      </c>
      <c r="AC4">
        <v>0</v>
      </c>
      <c r="AD4">
        <v>1</v>
      </c>
      <c r="AE4">
        <v>0</v>
      </c>
      <c r="AG4">
        <v>3.82</v>
      </c>
      <c r="AH4">
        <v>2</v>
      </c>
      <c r="AI4">
        <v>26918664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ROW(Source!A25)</f>
        <v>25</v>
      </c>
      <c r="B5">
        <v>27155002</v>
      </c>
      <c r="C5">
        <v>27154995</v>
      </c>
      <c r="D5">
        <v>9415493</v>
      </c>
      <c r="E5">
        <v>1</v>
      </c>
      <c r="F5">
        <v>1</v>
      </c>
      <c r="G5">
        <v>1</v>
      </c>
      <c r="H5">
        <v>1</v>
      </c>
      <c r="I5" t="s">
        <v>242</v>
      </c>
      <c r="K5" t="s">
        <v>243</v>
      </c>
      <c r="L5">
        <v>1369</v>
      </c>
      <c r="N5">
        <v>1013</v>
      </c>
      <c r="O5" t="s">
        <v>232</v>
      </c>
      <c r="P5" t="s">
        <v>232</v>
      </c>
      <c r="Q5">
        <v>1</v>
      </c>
      <c r="X5">
        <v>111.2</v>
      </c>
      <c r="Y5">
        <v>0</v>
      </c>
      <c r="Z5">
        <v>0</v>
      </c>
      <c r="AA5">
        <v>0</v>
      </c>
      <c r="AB5">
        <v>8.53</v>
      </c>
      <c r="AC5">
        <v>0</v>
      </c>
      <c r="AD5">
        <v>1</v>
      </c>
      <c r="AE5">
        <v>1</v>
      </c>
      <c r="AG5">
        <v>111.2</v>
      </c>
      <c r="AH5">
        <v>2</v>
      </c>
      <c r="AI5">
        <v>27154996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ROW(Source!A25)</f>
        <v>25</v>
      </c>
      <c r="B6">
        <v>27155003</v>
      </c>
      <c r="C6">
        <v>27154995</v>
      </c>
      <c r="D6">
        <v>121548</v>
      </c>
      <c r="E6">
        <v>1</v>
      </c>
      <c r="F6">
        <v>1</v>
      </c>
      <c r="G6">
        <v>1</v>
      </c>
      <c r="H6">
        <v>1</v>
      </c>
      <c r="I6" t="s">
        <v>23</v>
      </c>
      <c r="K6" t="s">
        <v>233</v>
      </c>
      <c r="L6">
        <v>608254</v>
      </c>
      <c r="N6">
        <v>1013</v>
      </c>
      <c r="O6" t="s">
        <v>234</v>
      </c>
      <c r="P6" t="s">
        <v>234</v>
      </c>
      <c r="Q6">
        <v>1</v>
      </c>
      <c r="X6">
        <v>21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2</v>
      </c>
      <c r="AG6">
        <v>21</v>
      </c>
      <c r="AH6">
        <v>2</v>
      </c>
      <c r="AI6">
        <v>27154997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ROW(Source!A25)</f>
        <v>25</v>
      </c>
      <c r="B7">
        <v>27155004</v>
      </c>
      <c r="C7">
        <v>27154995</v>
      </c>
      <c r="D7">
        <v>24312004</v>
      </c>
      <c r="E7">
        <v>1</v>
      </c>
      <c r="F7">
        <v>1</v>
      </c>
      <c r="G7">
        <v>1</v>
      </c>
      <c r="H7">
        <v>2</v>
      </c>
      <c r="I7" t="s">
        <v>244</v>
      </c>
      <c r="J7" t="s">
        <v>245</v>
      </c>
      <c r="K7" t="s">
        <v>246</v>
      </c>
      <c r="L7">
        <v>1368</v>
      </c>
      <c r="N7">
        <v>1011</v>
      </c>
      <c r="O7" t="s">
        <v>238</v>
      </c>
      <c r="P7" t="s">
        <v>238</v>
      </c>
      <c r="Q7">
        <v>1</v>
      </c>
      <c r="X7">
        <v>1.8</v>
      </c>
      <c r="Y7">
        <v>0</v>
      </c>
      <c r="Z7">
        <v>31.26</v>
      </c>
      <c r="AA7">
        <v>13.5</v>
      </c>
      <c r="AB7">
        <v>0</v>
      </c>
      <c r="AC7">
        <v>0</v>
      </c>
      <c r="AD7">
        <v>1</v>
      </c>
      <c r="AE7">
        <v>0</v>
      </c>
      <c r="AG7">
        <v>1.8</v>
      </c>
      <c r="AH7">
        <v>2</v>
      </c>
      <c r="AI7">
        <v>27154998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ROW(Source!A25)</f>
        <v>25</v>
      </c>
      <c r="B8">
        <v>27155005</v>
      </c>
      <c r="C8">
        <v>27154995</v>
      </c>
      <c r="D8">
        <v>24267967</v>
      </c>
      <c r="E8">
        <v>1</v>
      </c>
      <c r="F8">
        <v>1</v>
      </c>
      <c r="G8">
        <v>1</v>
      </c>
      <c r="H8">
        <v>2</v>
      </c>
      <c r="I8" t="s">
        <v>235</v>
      </c>
      <c r="J8" t="s">
        <v>236</v>
      </c>
      <c r="K8" t="s">
        <v>237</v>
      </c>
      <c r="L8">
        <v>1368</v>
      </c>
      <c r="N8">
        <v>1011</v>
      </c>
      <c r="O8" t="s">
        <v>238</v>
      </c>
      <c r="P8" t="s">
        <v>238</v>
      </c>
      <c r="Q8">
        <v>1</v>
      </c>
      <c r="X8">
        <v>19.2</v>
      </c>
      <c r="Y8">
        <v>0</v>
      </c>
      <c r="Z8">
        <v>90</v>
      </c>
      <c r="AA8">
        <v>10.06</v>
      </c>
      <c r="AB8">
        <v>0</v>
      </c>
      <c r="AC8">
        <v>0</v>
      </c>
      <c r="AD8">
        <v>1</v>
      </c>
      <c r="AE8">
        <v>0</v>
      </c>
      <c r="AG8">
        <v>19.2</v>
      </c>
      <c r="AH8">
        <v>2</v>
      </c>
      <c r="AI8">
        <v>27154999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ROW(Source!A25)</f>
        <v>25</v>
      </c>
      <c r="B9">
        <v>27155006</v>
      </c>
      <c r="C9">
        <v>27154995</v>
      </c>
      <c r="D9">
        <v>24268931</v>
      </c>
      <c r="E9">
        <v>1</v>
      </c>
      <c r="F9">
        <v>1</v>
      </c>
      <c r="G9">
        <v>1</v>
      </c>
      <c r="H9">
        <v>2</v>
      </c>
      <c r="I9" t="s">
        <v>239</v>
      </c>
      <c r="J9" t="s">
        <v>240</v>
      </c>
      <c r="K9" t="s">
        <v>241</v>
      </c>
      <c r="L9">
        <v>1368</v>
      </c>
      <c r="N9">
        <v>1011</v>
      </c>
      <c r="O9" t="s">
        <v>238</v>
      </c>
      <c r="P9" t="s">
        <v>238</v>
      </c>
      <c r="Q9">
        <v>1</v>
      </c>
      <c r="X9">
        <v>38.4</v>
      </c>
      <c r="Y9">
        <v>0</v>
      </c>
      <c r="Z9">
        <v>1.53</v>
      </c>
      <c r="AA9">
        <v>0</v>
      </c>
      <c r="AB9">
        <v>0</v>
      </c>
      <c r="AC9">
        <v>0</v>
      </c>
      <c r="AD9">
        <v>1</v>
      </c>
      <c r="AE9">
        <v>0</v>
      </c>
      <c r="AG9">
        <v>38.4</v>
      </c>
      <c r="AH9">
        <v>2</v>
      </c>
      <c r="AI9">
        <v>27155000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ROW(Source!A25)</f>
        <v>25</v>
      </c>
      <c r="B10">
        <v>27155007</v>
      </c>
      <c r="C10">
        <v>27154995</v>
      </c>
      <c r="D10">
        <v>24505491</v>
      </c>
      <c r="E10">
        <v>1</v>
      </c>
      <c r="F10">
        <v>1</v>
      </c>
      <c r="G10">
        <v>1</v>
      </c>
      <c r="H10">
        <v>3</v>
      </c>
      <c r="I10" t="s">
        <v>247</v>
      </c>
      <c r="J10" t="s">
        <v>248</v>
      </c>
      <c r="K10" t="s">
        <v>249</v>
      </c>
      <c r="L10">
        <v>1348</v>
      </c>
      <c r="N10">
        <v>1009</v>
      </c>
      <c r="O10" t="s">
        <v>115</v>
      </c>
      <c r="P10" t="s">
        <v>115</v>
      </c>
      <c r="Q10">
        <v>1000</v>
      </c>
      <c r="X10">
        <v>6.6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G10">
        <v>6.6</v>
      </c>
      <c r="AH10">
        <v>2</v>
      </c>
      <c r="AI10">
        <v>27155001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ROW(Source!A26)</f>
        <v>26</v>
      </c>
      <c r="B11">
        <v>26918681</v>
      </c>
      <c r="C11">
        <v>26918678</v>
      </c>
      <c r="D11">
        <v>9415493</v>
      </c>
      <c r="E11">
        <v>1</v>
      </c>
      <c r="F11">
        <v>1</v>
      </c>
      <c r="G11">
        <v>1</v>
      </c>
      <c r="H11">
        <v>1</v>
      </c>
      <c r="I11" t="s">
        <v>242</v>
      </c>
      <c r="K11" t="s">
        <v>243</v>
      </c>
      <c r="L11">
        <v>1369</v>
      </c>
      <c r="N11">
        <v>1013</v>
      </c>
      <c r="O11" t="s">
        <v>232</v>
      </c>
      <c r="P11" t="s">
        <v>232</v>
      </c>
      <c r="Q11">
        <v>1</v>
      </c>
      <c r="X11">
        <v>3.45</v>
      </c>
      <c r="Y11">
        <v>0</v>
      </c>
      <c r="Z11">
        <v>0</v>
      </c>
      <c r="AA11">
        <v>0</v>
      </c>
      <c r="AB11">
        <v>8.53</v>
      </c>
      <c r="AC11">
        <v>0</v>
      </c>
      <c r="AD11">
        <v>1</v>
      </c>
      <c r="AE11">
        <v>1</v>
      </c>
      <c r="AF11" t="s">
        <v>38</v>
      </c>
      <c r="AG11">
        <v>4.760999999999999</v>
      </c>
      <c r="AH11">
        <v>2</v>
      </c>
      <c r="AI11">
        <v>26918679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ROW(Source!A26)</f>
        <v>26</v>
      </c>
      <c r="B12">
        <v>26918682</v>
      </c>
      <c r="C12">
        <v>26918678</v>
      </c>
      <c r="D12">
        <v>21280770</v>
      </c>
      <c r="E12">
        <v>1</v>
      </c>
      <c r="F12">
        <v>1</v>
      </c>
      <c r="G12">
        <v>1</v>
      </c>
      <c r="H12">
        <v>2</v>
      </c>
      <c r="I12" t="s">
        <v>277</v>
      </c>
      <c r="J12" t="s">
        <v>291</v>
      </c>
      <c r="K12" t="s">
        <v>279</v>
      </c>
      <c r="L12">
        <v>1368</v>
      </c>
      <c r="N12">
        <v>1011</v>
      </c>
      <c r="O12" t="s">
        <v>238</v>
      </c>
      <c r="P12" t="s">
        <v>238</v>
      </c>
      <c r="Q12">
        <v>1</v>
      </c>
      <c r="X12">
        <v>0.02</v>
      </c>
      <c r="Y12">
        <v>0</v>
      </c>
      <c r="Z12">
        <v>87.17</v>
      </c>
      <c r="AA12">
        <v>11.6</v>
      </c>
      <c r="AB12">
        <v>0</v>
      </c>
      <c r="AC12">
        <v>0</v>
      </c>
      <c r="AD12">
        <v>1</v>
      </c>
      <c r="AE12">
        <v>0</v>
      </c>
      <c r="AF12" t="s">
        <v>37</v>
      </c>
      <c r="AG12">
        <v>0.03</v>
      </c>
      <c r="AH12">
        <v>3</v>
      </c>
      <c r="AI12">
        <v>-1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ROW(Source!A26)</f>
        <v>26</v>
      </c>
      <c r="B13">
        <v>26918683</v>
      </c>
      <c r="C13">
        <v>26918678</v>
      </c>
      <c r="D13">
        <v>21323648</v>
      </c>
      <c r="E13">
        <v>1</v>
      </c>
      <c r="F13">
        <v>1</v>
      </c>
      <c r="G13">
        <v>1</v>
      </c>
      <c r="H13">
        <v>3</v>
      </c>
      <c r="I13" t="s">
        <v>250</v>
      </c>
      <c r="J13" t="s">
        <v>251</v>
      </c>
      <c r="K13" t="s">
        <v>252</v>
      </c>
      <c r="L13">
        <v>1327</v>
      </c>
      <c r="N13">
        <v>1005</v>
      </c>
      <c r="O13" t="s">
        <v>253</v>
      </c>
      <c r="P13" t="s">
        <v>253</v>
      </c>
      <c r="Q13">
        <v>1</v>
      </c>
      <c r="X13">
        <v>122.4</v>
      </c>
      <c r="Y13">
        <v>12.19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G13">
        <v>122.4</v>
      </c>
      <c r="AH13">
        <v>2</v>
      </c>
      <c r="AI13">
        <v>26918680</v>
      </c>
      <c r="AJ13">
        <v>12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ROW(Source!A27)</f>
        <v>27</v>
      </c>
      <c r="B14">
        <v>26921679</v>
      </c>
      <c r="C14">
        <v>26921672</v>
      </c>
      <c r="D14">
        <v>9415352</v>
      </c>
      <c r="E14">
        <v>1</v>
      </c>
      <c r="F14">
        <v>1</v>
      </c>
      <c r="G14">
        <v>1</v>
      </c>
      <c r="H14">
        <v>1</v>
      </c>
      <c r="I14" t="s">
        <v>254</v>
      </c>
      <c r="K14" t="s">
        <v>255</v>
      </c>
      <c r="L14">
        <v>1369</v>
      </c>
      <c r="N14">
        <v>1013</v>
      </c>
      <c r="O14" t="s">
        <v>232</v>
      </c>
      <c r="P14" t="s">
        <v>232</v>
      </c>
      <c r="Q14">
        <v>1</v>
      </c>
      <c r="X14">
        <v>30.3</v>
      </c>
      <c r="Y14">
        <v>0</v>
      </c>
      <c r="Z14">
        <v>0</v>
      </c>
      <c r="AA14">
        <v>0</v>
      </c>
      <c r="AB14">
        <v>9.62</v>
      </c>
      <c r="AC14">
        <v>0</v>
      </c>
      <c r="AD14">
        <v>1</v>
      </c>
      <c r="AE14">
        <v>1</v>
      </c>
      <c r="AF14" t="s">
        <v>38</v>
      </c>
      <c r="AG14">
        <v>41.814</v>
      </c>
      <c r="AH14">
        <v>2</v>
      </c>
      <c r="AI14">
        <v>26921673</v>
      </c>
      <c r="AJ14">
        <v>13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ROW(Source!A27)</f>
        <v>27</v>
      </c>
      <c r="B15">
        <v>26921680</v>
      </c>
      <c r="C15">
        <v>26921672</v>
      </c>
      <c r="D15">
        <v>121548</v>
      </c>
      <c r="E15">
        <v>1</v>
      </c>
      <c r="F15">
        <v>1</v>
      </c>
      <c r="G15">
        <v>1</v>
      </c>
      <c r="H15">
        <v>1</v>
      </c>
      <c r="I15" t="s">
        <v>23</v>
      </c>
      <c r="K15" t="s">
        <v>233</v>
      </c>
      <c r="L15">
        <v>608254</v>
      </c>
      <c r="N15">
        <v>1013</v>
      </c>
      <c r="O15" t="s">
        <v>234</v>
      </c>
      <c r="P15" t="s">
        <v>234</v>
      </c>
      <c r="Q15">
        <v>1</v>
      </c>
      <c r="X15">
        <v>11.02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2</v>
      </c>
      <c r="AF15" t="s">
        <v>37</v>
      </c>
      <c r="AG15">
        <v>16.529999999999998</v>
      </c>
      <c r="AH15">
        <v>2</v>
      </c>
      <c r="AI15">
        <v>26921674</v>
      </c>
      <c r="AJ15">
        <v>14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ROW(Source!A27)</f>
        <v>27</v>
      </c>
      <c r="B16">
        <v>26921681</v>
      </c>
      <c r="C16">
        <v>26921672</v>
      </c>
      <c r="D16">
        <v>24330262</v>
      </c>
      <c r="E16">
        <v>1</v>
      </c>
      <c r="F16">
        <v>1</v>
      </c>
      <c r="G16">
        <v>1</v>
      </c>
      <c r="H16">
        <v>2</v>
      </c>
      <c r="I16" t="s">
        <v>373</v>
      </c>
      <c r="J16" t="s">
        <v>257</v>
      </c>
      <c r="K16" t="s">
        <v>374</v>
      </c>
      <c r="L16">
        <v>1368</v>
      </c>
      <c r="N16">
        <v>1011</v>
      </c>
      <c r="O16" t="s">
        <v>238</v>
      </c>
      <c r="P16" t="s">
        <v>238</v>
      </c>
      <c r="Q16">
        <v>1</v>
      </c>
      <c r="X16">
        <v>11.02</v>
      </c>
      <c r="Y16">
        <v>0</v>
      </c>
      <c r="Z16">
        <v>17.3</v>
      </c>
      <c r="AA16">
        <v>11.6</v>
      </c>
      <c r="AB16">
        <v>0</v>
      </c>
      <c r="AC16">
        <v>0</v>
      </c>
      <c r="AD16">
        <v>1</v>
      </c>
      <c r="AE16">
        <v>0</v>
      </c>
      <c r="AF16" t="s">
        <v>37</v>
      </c>
      <c r="AG16">
        <v>16.529999999999998</v>
      </c>
      <c r="AH16">
        <v>3</v>
      </c>
      <c r="AI16">
        <v>-1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ROW(Source!A27)</f>
        <v>27</v>
      </c>
      <c r="B17">
        <v>26921682</v>
      </c>
      <c r="C17">
        <v>26921672</v>
      </c>
      <c r="D17">
        <v>24330261</v>
      </c>
      <c r="E17">
        <v>1</v>
      </c>
      <c r="F17">
        <v>1</v>
      </c>
      <c r="G17">
        <v>1</v>
      </c>
      <c r="H17">
        <v>3</v>
      </c>
      <c r="I17" t="s">
        <v>260</v>
      </c>
      <c r="J17" t="s">
        <v>261</v>
      </c>
      <c r="K17" t="s">
        <v>262</v>
      </c>
      <c r="L17">
        <v>1339</v>
      </c>
      <c r="N17">
        <v>1007</v>
      </c>
      <c r="O17" t="s">
        <v>263</v>
      </c>
      <c r="P17" t="s">
        <v>263</v>
      </c>
      <c r="Q17">
        <v>1</v>
      </c>
      <c r="X17">
        <v>0.06</v>
      </c>
      <c r="Y17">
        <v>775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G17">
        <v>0.06</v>
      </c>
      <c r="AH17">
        <v>2</v>
      </c>
      <c r="AI17">
        <v>26921677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ROW(Source!A27)</f>
        <v>27</v>
      </c>
      <c r="B18">
        <v>26921683</v>
      </c>
      <c r="C18">
        <v>26921672</v>
      </c>
      <c r="D18">
        <v>24786284</v>
      </c>
      <c r="E18">
        <v>1</v>
      </c>
      <c r="F18">
        <v>1</v>
      </c>
      <c r="G18">
        <v>1</v>
      </c>
      <c r="H18">
        <v>3</v>
      </c>
      <c r="I18" t="s">
        <v>264</v>
      </c>
      <c r="J18" t="s">
        <v>265</v>
      </c>
      <c r="K18" t="s">
        <v>375</v>
      </c>
      <c r="L18">
        <v>1339</v>
      </c>
      <c r="N18">
        <v>1007</v>
      </c>
      <c r="O18" t="s">
        <v>263</v>
      </c>
      <c r="P18" t="s">
        <v>263</v>
      </c>
      <c r="Q18">
        <v>1</v>
      </c>
      <c r="X18">
        <v>10.2</v>
      </c>
      <c r="Y18">
        <v>665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10.2</v>
      </c>
      <c r="AH18">
        <v>2</v>
      </c>
      <c r="AI18">
        <v>26921678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ROW(Source!A27)</f>
        <v>27</v>
      </c>
      <c r="B19">
        <v>26921684</v>
      </c>
      <c r="C19">
        <v>26921672</v>
      </c>
      <c r="D19">
        <v>24262983</v>
      </c>
      <c r="E19">
        <v>1</v>
      </c>
      <c r="F19">
        <v>1</v>
      </c>
      <c r="G19">
        <v>1</v>
      </c>
      <c r="H19">
        <v>3</v>
      </c>
      <c r="I19" t="s">
        <v>376</v>
      </c>
      <c r="J19" t="s">
        <v>377</v>
      </c>
      <c r="K19" t="s">
        <v>378</v>
      </c>
      <c r="L19">
        <v>1339</v>
      </c>
      <c r="N19">
        <v>1007</v>
      </c>
      <c r="O19" t="s">
        <v>263</v>
      </c>
      <c r="P19" t="s">
        <v>263</v>
      </c>
      <c r="Q19">
        <v>1</v>
      </c>
      <c r="X19">
        <v>0.5</v>
      </c>
      <c r="Y19">
        <v>2.44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G19">
        <v>0.5</v>
      </c>
      <c r="AH19">
        <v>3</v>
      </c>
      <c r="AI19">
        <v>-1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ROW(Source!A28)</f>
        <v>28</v>
      </c>
      <c r="B20">
        <v>26918742</v>
      </c>
      <c r="C20">
        <v>26918737</v>
      </c>
      <c r="D20">
        <v>9418246</v>
      </c>
      <c r="E20">
        <v>1</v>
      </c>
      <c r="F20">
        <v>1</v>
      </c>
      <c r="G20">
        <v>1</v>
      </c>
      <c r="H20">
        <v>1</v>
      </c>
      <c r="I20" t="s">
        <v>267</v>
      </c>
      <c r="K20" t="s">
        <v>268</v>
      </c>
      <c r="L20">
        <v>1369</v>
      </c>
      <c r="N20">
        <v>1013</v>
      </c>
      <c r="O20" t="s">
        <v>232</v>
      </c>
      <c r="P20" t="s">
        <v>232</v>
      </c>
      <c r="Q20">
        <v>1</v>
      </c>
      <c r="X20">
        <v>85.3</v>
      </c>
      <c r="Y20">
        <v>0</v>
      </c>
      <c r="Z20">
        <v>0</v>
      </c>
      <c r="AA20">
        <v>0</v>
      </c>
      <c r="AB20">
        <v>8.46</v>
      </c>
      <c r="AC20">
        <v>0</v>
      </c>
      <c r="AD20">
        <v>1</v>
      </c>
      <c r="AE20">
        <v>1</v>
      </c>
      <c r="AG20">
        <v>85.3</v>
      </c>
      <c r="AH20">
        <v>2</v>
      </c>
      <c r="AI20">
        <v>26918738</v>
      </c>
      <c r="AJ20">
        <v>19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ROW(Source!A28)</f>
        <v>28</v>
      </c>
      <c r="B21">
        <v>26918743</v>
      </c>
      <c r="C21">
        <v>26918737</v>
      </c>
      <c r="D21">
        <v>121548</v>
      </c>
      <c r="E21">
        <v>1</v>
      </c>
      <c r="F21">
        <v>1</v>
      </c>
      <c r="G21">
        <v>1</v>
      </c>
      <c r="H21">
        <v>1</v>
      </c>
      <c r="I21" t="s">
        <v>23</v>
      </c>
      <c r="K21" t="s">
        <v>233</v>
      </c>
      <c r="L21">
        <v>608254</v>
      </c>
      <c r="N21">
        <v>1013</v>
      </c>
      <c r="O21" t="s">
        <v>234</v>
      </c>
      <c r="P21" t="s">
        <v>234</v>
      </c>
      <c r="Q21">
        <v>1</v>
      </c>
      <c r="X21">
        <v>0.32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2</v>
      </c>
      <c r="AG21">
        <v>0.32</v>
      </c>
      <c r="AH21">
        <v>2</v>
      </c>
      <c r="AI21">
        <v>26918739</v>
      </c>
      <c r="AJ21">
        <v>20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ROW(Source!A28)</f>
        <v>28</v>
      </c>
      <c r="B22">
        <v>26918744</v>
      </c>
      <c r="C22">
        <v>26918737</v>
      </c>
      <c r="D22">
        <v>24312004</v>
      </c>
      <c r="E22">
        <v>1</v>
      </c>
      <c r="F22">
        <v>1</v>
      </c>
      <c r="G22">
        <v>1</v>
      </c>
      <c r="H22">
        <v>2</v>
      </c>
      <c r="I22" t="s">
        <v>244</v>
      </c>
      <c r="J22" t="s">
        <v>245</v>
      </c>
      <c r="K22" t="s">
        <v>246</v>
      </c>
      <c r="L22">
        <v>1368</v>
      </c>
      <c r="N22">
        <v>1011</v>
      </c>
      <c r="O22" t="s">
        <v>238</v>
      </c>
      <c r="P22" t="s">
        <v>238</v>
      </c>
      <c r="Q22">
        <v>1</v>
      </c>
      <c r="X22">
        <v>0.32</v>
      </c>
      <c r="Y22">
        <v>0</v>
      </c>
      <c r="Z22">
        <v>31.26</v>
      </c>
      <c r="AA22">
        <v>13.5</v>
      </c>
      <c r="AB22">
        <v>0</v>
      </c>
      <c r="AC22">
        <v>0</v>
      </c>
      <c r="AD22">
        <v>1</v>
      </c>
      <c r="AE22">
        <v>0</v>
      </c>
      <c r="AG22">
        <v>0.32</v>
      </c>
      <c r="AH22">
        <v>2</v>
      </c>
      <c r="AI22">
        <v>26918740</v>
      </c>
      <c r="AJ22">
        <v>21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ROW(Source!A28)</f>
        <v>28</v>
      </c>
      <c r="B23">
        <v>26918745</v>
      </c>
      <c r="C23">
        <v>26918737</v>
      </c>
      <c r="D23">
        <v>24506631</v>
      </c>
      <c r="E23">
        <v>1</v>
      </c>
      <c r="F23">
        <v>1</v>
      </c>
      <c r="G23">
        <v>1</v>
      </c>
      <c r="H23">
        <v>3</v>
      </c>
      <c r="I23" t="s">
        <v>269</v>
      </c>
      <c r="J23" t="s">
        <v>270</v>
      </c>
      <c r="K23" t="s">
        <v>271</v>
      </c>
      <c r="L23">
        <v>1348</v>
      </c>
      <c r="N23">
        <v>1009</v>
      </c>
      <c r="O23" t="s">
        <v>115</v>
      </c>
      <c r="P23" t="s">
        <v>115</v>
      </c>
      <c r="Q23">
        <v>1000</v>
      </c>
      <c r="X23">
        <v>1.34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G23">
        <v>1.34</v>
      </c>
      <c r="AH23">
        <v>2</v>
      </c>
      <c r="AI23">
        <v>26918741</v>
      </c>
      <c r="AJ23">
        <v>22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ROW(Source!A29)</f>
        <v>29</v>
      </c>
      <c r="B24">
        <v>26918755</v>
      </c>
      <c r="C24">
        <v>26918746</v>
      </c>
      <c r="D24">
        <v>9416409</v>
      </c>
      <c r="E24">
        <v>1</v>
      </c>
      <c r="F24">
        <v>1</v>
      </c>
      <c r="G24">
        <v>1</v>
      </c>
      <c r="H24">
        <v>1</v>
      </c>
      <c r="I24" t="s">
        <v>272</v>
      </c>
      <c r="K24" t="s">
        <v>273</v>
      </c>
      <c r="L24">
        <v>1369</v>
      </c>
      <c r="N24">
        <v>1013</v>
      </c>
      <c r="O24" t="s">
        <v>232</v>
      </c>
      <c r="P24" t="s">
        <v>232</v>
      </c>
      <c r="Q24">
        <v>1</v>
      </c>
      <c r="X24">
        <v>61.6</v>
      </c>
      <c r="Y24">
        <v>0</v>
      </c>
      <c r="Z24">
        <v>0</v>
      </c>
      <c r="AA24">
        <v>0</v>
      </c>
      <c r="AB24">
        <v>9.92</v>
      </c>
      <c r="AC24">
        <v>0</v>
      </c>
      <c r="AD24">
        <v>1</v>
      </c>
      <c r="AE24">
        <v>1</v>
      </c>
      <c r="AF24" t="s">
        <v>38</v>
      </c>
      <c r="AG24">
        <v>85.00799999999998</v>
      </c>
      <c r="AH24">
        <v>2</v>
      </c>
      <c r="AI24">
        <v>26918747</v>
      </c>
      <c r="AJ24">
        <v>23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ROW(Source!A29)</f>
        <v>29</v>
      </c>
      <c r="B25">
        <v>26918756</v>
      </c>
      <c r="C25">
        <v>26918746</v>
      </c>
      <c r="D25">
        <v>121548</v>
      </c>
      <c r="E25">
        <v>1</v>
      </c>
      <c r="F25">
        <v>1</v>
      </c>
      <c r="G25">
        <v>1</v>
      </c>
      <c r="H25">
        <v>1</v>
      </c>
      <c r="I25" t="s">
        <v>23</v>
      </c>
      <c r="K25" t="s">
        <v>233</v>
      </c>
      <c r="L25">
        <v>608254</v>
      </c>
      <c r="N25">
        <v>1013</v>
      </c>
      <c r="O25" t="s">
        <v>234</v>
      </c>
      <c r="P25" t="s">
        <v>234</v>
      </c>
      <c r="Q25">
        <v>1</v>
      </c>
      <c r="X25">
        <v>0.05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2</v>
      </c>
      <c r="AF25" t="s">
        <v>37</v>
      </c>
      <c r="AG25">
        <v>0.075</v>
      </c>
      <c r="AH25">
        <v>2</v>
      </c>
      <c r="AI25">
        <v>26918748</v>
      </c>
      <c r="AJ25">
        <v>24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ROW(Source!A29)</f>
        <v>29</v>
      </c>
      <c r="B26">
        <v>26918757</v>
      </c>
      <c r="C26">
        <v>26918746</v>
      </c>
      <c r="D26">
        <v>24297465</v>
      </c>
      <c r="E26">
        <v>1</v>
      </c>
      <c r="F26">
        <v>1</v>
      </c>
      <c r="G26">
        <v>1</v>
      </c>
      <c r="H26">
        <v>2</v>
      </c>
      <c r="I26" t="s">
        <v>379</v>
      </c>
      <c r="J26" t="s">
        <v>380</v>
      </c>
      <c r="K26" t="s">
        <v>381</v>
      </c>
      <c r="L26">
        <v>1368</v>
      </c>
      <c r="N26">
        <v>1011</v>
      </c>
      <c r="O26" t="s">
        <v>238</v>
      </c>
      <c r="P26" t="s">
        <v>238</v>
      </c>
      <c r="Q26">
        <v>1</v>
      </c>
      <c r="X26">
        <v>0.03</v>
      </c>
      <c r="Y26">
        <v>0</v>
      </c>
      <c r="Z26">
        <v>86.4</v>
      </c>
      <c r="AA26">
        <v>13.5</v>
      </c>
      <c r="AB26">
        <v>0</v>
      </c>
      <c r="AC26">
        <v>0</v>
      </c>
      <c r="AD26">
        <v>1</v>
      </c>
      <c r="AE26">
        <v>0</v>
      </c>
      <c r="AF26" t="s">
        <v>37</v>
      </c>
      <c r="AG26">
        <v>0.045</v>
      </c>
      <c r="AH26">
        <v>3</v>
      </c>
      <c r="AI26">
        <v>-1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ROW(Source!A29)</f>
        <v>29</v>
      </c>
      <c r="B27">
        <v>26918758</v>
      </c>
      <c r="C27">
        <v>26918746</v>
      </c>
      <c r="D27">
        <v>24262159</v>
      </c>
      <c r="E27">
        <v>1</v>
      </c>
      <c r="F27">
        <v>1</v>
      </c>
      <c r="G27">
        <v>1</v>
      </c>
      <c r="H27">
        <v>2</v>
      </c>
      <c r="I27" t="s">
        <v>274</v>
      </c>
      <c r="J27" t="s">
        <v>275</v>
      </c>
      <c r="K27" t="s">
        <v>276</v>
      </c>
      <c r="L27">
        <v>1368</v>
      </c>
      <c r="N27">
        <v>1011</v>
      </c>
      <c r="O27" t="s">
        <v>238</v>
      </c>
      <c r="P27" t="s">
        <v>238</v>
      </c>
      <c r="Q27">
        <v>1</v>
      </c>
      <c r="X27">
        <v>0.02</v>
      </c>
      <c r="Y27">
        <v>0</v>
      </c>
      <c r="Z27">
        <v>111.99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37</v>
      </c>
      <c r="AG27">
        <v>0.03</v>
      </c>
      <c r="AH27">
        <v>2</v>
      </c>
      <c r="AI27">
        <v>26918749</v>
      </c>
      <c r="AJ27">
        <v>25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ROW(Source!A29)</f>
        <v>29</v>
      </c>
      <c r="B28">
        <v>26918759</v>
      </c>
      <c r="C28">
        <v>26918746</v>
      </c>
      <c r="D28">
        <v>24262102</v>
      </c>
      <c r="E28">
        <v>1</v>
      </c>
      <c r="F28">
        <v>1</v>
      </c>
      <c r="G28">
        <v>1</v>
      </c>
      <c r="H28">
        <v>2</v>
      </c>
      <c r="I28" t="s">
        <v>277</v>
      </c>
      <c r="J28" t="s">
        <v>278</v>
      </c>
      <c r="K28" t="s">
        <v>279</v>
      </c>
      <c r="L28">
        <v>1368</v>
      </c>
      <c r="N28">
        <v>1011</v>
      </c>
      <c r="O28" t="s">
        <v>238</v>
      </c>
      <c r="P28" t="s">
        <v>238</v>
      </c>
      <c r="Q28">
        <v>1</v>
      </c>
      <c r="X28">
        <v>0.02</v>
      </c>
      <c r="Y28">
        <v>0</v>
      </c>
      <c r="Z28">
        <v>87.17</v>
      </c>
      <c r="AA28">
        <v>11.6</v>
      </c>
      <c r="AB28">
        <v>0</v>
      </c>
      <c r="AC28">
        <v>0</v>
      </c>
      <c r="AD28">
        <v>1</v>
      </c>
      <c r="AE28">
        <v>0</v>
      </c>
      <c r="AF28" t="s">
        <v>37</v>
      </c>
      <c r="AG28">
        <v>0.03</v>
      </c>
      <c r="AH28">
        <v>2</v>
      </c>
      <c r="AI28">
        <v>26918750</v>
      </c>
      <c r="AJ28">
        <v>26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ROW(Source!A29)</f>
        <v>29</v>
      </c>
      <c r="B29">
        <v>26918760</v>
      </c>
      <c r="C29">
        <v>26918746</v>
      </c>
      <c r="D29">
        <v>24345742</v>
      </c>
      <c r="E29">
        <v>1</v>
      </c>
      <c r="F29">
        <v>1</v>
      </c>
      <c r="G29">
        <v>1</v>
      </c>
      <c r="H29">
        <v>3</v>
      </c>
      <c r="I29" t="s">
        <v>382</v>
      </c>
      <c r="J29" t="s">
        <v>383</v>
      </c>
      <c r="K29" t="s">
        <v>384</v>
      </c>
      <c r="L29">
        <v>1346</v>
      </c>
      <c r="N29">
        <v>1009</v>
      </c>
      <c r="O29" t="s">
        <v>308</v>
      </c>
      <c r="P29" t="s">
        <v>308</v>
      </c>
      <c r="Q29">
        <v>1</v>
      </c>
      <c r="X29">
        <v>4</v>
      </c>
      <c r="Y29">
        <v>24.41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G29">
        <v>4</v>
      </c>
      <c r="AH29">
        <v>3</v>
      </c>
      <c r="AI29">
        <v>-1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ROW(Source!A29)</f>
        <v>29</v>
      </c>
      <c r="B30">
        <v>26918761</v>
      </c>
      <c r="C30">
        <v>26918746</v>
      </c>
      <c r="D30">
        <v>24270497</v>
      </c>
      <c r="E30">
        <v>1</v>
      </c>
      <c r="F30">
        <v>1</v>
      </c>
      <c r="G30">
        <v>1</v>
      </c>
      <c r="H30">
        <v>3</v>
      </c>
      <c r="I30" t="s">
        <v>285</v>
      </c>
      <c r="J30" t="s">
        <v>286</v>
      </c>
      <c r="K30" t="s">
        <v>287</v>
      </c>
      <c r="L30">
        <v>1348</v>
      </c>
      <c r="N30">
        <v>1009</v>
      </c>
      <c r="O30" t="s">
        <v>115</v>
      </c>
      <c r="P30" t="s">
        <v>115</v>
      </c>
      <c r="Q30">
        <v>1000</v>
      </c>
      <c r="X30">
        <v>0.00266</v>
      </c>
      <c r="Y30">
        <v>14830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0.00266</v>
      </c>
      <c r="AH30">
        <v>2</v>
      </c>
      <c r="AI30">
        <v>26918754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ROW(Source!A29)</f>
        <v>29</v>
      </c>
      <c r="B31">
        <v>26918762</v>
      </c>
      <c r="C31">
        <v>26918746</v>
      </c>
      <c r="D31">
        <v>24344245</v>
      </c>
      <c r="E31">
        <v>1</v>
      </c>
      <c r="F31">
        <v>1</v>
      </c>
      <c r="G31">
        <v>1</v>
      </c>
      <c r="H31">
        <v>3</v>
      </c>
      <c r="I31" t="s">
        <v>385</v>
      </c>
      <c r="J31" t="s">
        <v>386</v>
      </c>
      <c r="K31" t="s">
        <v>387</v>
      </c>
      <c r="L31">
        <v>1346</v>
      </c>
      <c r="N31">
        <v>1009</v>
      </c>
      <c r="O31" t="s">
        <v>308</v>
      </c>
      <c r="P31" t="s">
        <v>308</v>
      </c>
      <c r="Q31">
        <v>1</v>
      </c>
      <c r="X31">
        <v>0</v>
      </c>
      <c r="Y31">
        <v>0</v>
      </c>
      <c r="Z31">
        <v>0</v>
      </c>
      <c r="AA31">
        <v>0</v>
      </c>
      <c r="AB31">
        <v>0</v>
      </c>
      <c r="AC31">
        <v>1</v>
      </c>
      <c r="AD31">
        <v>0</v>
      </c>
      <c r="AE31">
        <v>0</v>
      </c>
      <c r="AG31">
        <v>0</v>
      </c>
      <c r="AH31">
        <v>3</v>
      </c>
      <c r="AI31">
        <v>-1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ROW(Source!A29)</f>
        <v>29</v>
      </c>
      <c r="B32">
        <v>26918763</v>
      </c>
      <c r="C32">
        <v>26918746</v>
      </c>
      <c r="D32">
        <v>24785634</v>
      </c>
      <c r="E32">
        <v>1</v>
      </c>
      <c r="F32">
        <v>1</v>
      </c>
      <c r="G32">
        <v>1</v>
      </c>
      <c r="H32">
        <v>3</v>
      </c>
      <c r="I32" t="s">
        <v>388</v>
      </c>
      <c r="J32" t="s">
        <v>389</v>
      </c>
      <c r="K32" t="s">
        <v>390</v>
      </c>
      <c r="L32">
        <v>1301</v>
      </c>
      <c r="N32">
        <v>1003</v>
      </c>
      <c r="O32" t="s">
        <v>283</v>
      </c>
      <c r="P32" t="s">
        <v>283</v>
      </c>
      <c r="Q32">
        <v>1</v>
      </c>
      <c r="X32">
        <v>99.8</v>
      </c>
      <c r="Y32">
        <v>70.4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G32">
        <v>99.8</v>
      </c>
      <c r="AH32">
        <v>3</v>
      </c>
      <c r="AI32">
        <v>-1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ROW(Source!A29)</f>
        <v>29</v>
      </c>
      <c r="B33">
        <v>26918764</v>
      </c>
      <c r="C33">
        <v>26918746</v>
      </c>
      <c r="D33">
        <v>24267161</v>
      </c>
      <c r="E33">
        <v>1</v>
      </c>
      <c r="F33">
        <v>1</v>
      </c>
      <c r="G33">
        <v>1</v>
      </c>
      <c r="H33">
        <v>3</v>
      </c>
      <c r="I33" t="s">
        <v>391</v>
      </c>
      <c r="J33" t="s">
        <v>392</v>
      </c>
      <c r="K33" t="s">
        <v>393</v>
      </c>
      <c r="L33">
        <v>1354</v>
      </c>
      <c r="N33">
        <v>1010</v>
      </c>
      <c r="O33" t="s">
        <v>394</v>
      </c>
      <c r="P33" t="s">
        <v>394</v>
      </c>
      <c r="Q33">
        <v>1</v>
      </c>
      <c r="X33">
        <v>0</v>
      </c>
      <c r="Y33">
        <v>0</v>
      </c>
      <c r="Z33">
        <v>0</v>
      </c>
      <c r="AA33">
        <v>0</v>
      </c>
      <c r="AB33">
        <v>0</v>
      </c>
      <c r="AC33">
        <v>1</v>
      </c>
      <c r="AD33">
        <v>0</v>
      </c>
      <c r="AE33">
        <v>0</v>
      </c>
      <c r="AG33">
        <v>0</v>
      </c>
      <c r="AH33">
        <v>3</v>
      </c>
      <c r="AI33">
        <v>-1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ROW(Source!A29)</f>
        <v>29</v>
      </c>
      <c r="B34">
        <v>26918765</v>
      </c>
      <c r="C34">
        <v>26918746</v>
      </c>
      <c r="D34">
        <v>24262983</v>
      </c>
      <c r="E34">
        <v>1</v>
      </c>
      <c r="F34">
        <v>1</v>
      </c>
      <c r="G34">
        <v>1</v>
      </c>
      <c r="H34">
        <v>3</v>
      </c>
      <c r="I34" t="s">
        <v>376</v>
      </c>
      <c r="J34" t="s">
        <v>377</v>
      </c>
      <c r="K34" t="s">
        <v>378</v>
      </c>
      <c r="L34">
        <v>1339</v>
      </c>
      <c r="N34">
        <v>1007</v>
      </c>
      <c r="O34" t="s">
        <v>263</v>
      </c>
      <c r="P34" t="s">
        <v>263</v>
      </c>
      <c r="Q34">
        <v>1</v>
      </c>
      <c r="X34">
        <v>1.57</v>
      </c>
      <c r="Y34">
        <v>2.44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G34">
        <v>1.57</v>
      </c>
      <c r="AH34">
        <v>3</v>
      </c>
      <c r="AI34">
        <v>-1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ROW(Source!A30)</f>
        <v>30</v>
      </c>
      <c r="B35">
        <v>26918772</v>
      </c>
      <c r="C35">
        <v>26918766</v>
      </c>
      <c r="D35">
        <v>9415735</v>
      </c>
      <c r="E35">
        <v>1</v>
      </c>
      <c r="F35">
        <v>1</v>
      </c>
      <c r="G35">
        <v>1</v>
      </c>
      <c r="H35">
        <v>1</v>
      </c>
      <c r="I35" t="s">
        <v>288</v>
      </c>
      <c r="K35" t="s">
        <v>289</v>
      </c>
      <c r="L35">
        <v>1369</v>
      </c>
      <c r="N35">
        <v>1013</v>
      </c>
      <c r="O35" t="s">
        <v>232</v>
      </c>
      <c r="P35" t="s">
        <v>232</v>
      </c>
      <c r="Q35">
        <v>1</v>
      </c>
      <c r="X35">
        <v>234</v>
      </c>
      <c r="Y35">
        <v>0</v>
      </c>
      <c r="Z35">
        <v>0</v>
      </c>
      <c r="AA35">
        <v>0</v>
      </c>
      <c r="AB35">
        <v>9.07</v>
      </c>
      <c r="AC35">
        <v>0</v>
      </c>
      <c r="AD35">
        <v>1</v>
      </c>
      <c r="AE35">
        <v>1</v>
      </c>
      <c r="AG35">
        <v>234</v>
      </c>
      <c r="AH35">
        <v>2</v>
      </c>
      <c r="AI35">
        <v>26918767</v>
      </c>
      <c r="AJ35">
        <v>31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ROW(Source!A30)</f>
        <v>30</v>
      </c>
      <c r="B36">
        <v>26918773</v>
      </c>
      <c r="C36">
        <v>26918766</v>
      </c>
      <c r="D36">
        <v>121548</v>
      </c>
      <c r="E36">
        <v>1</v>
      </c>
      <c r="F36">
        <v>1</v>
      </c>
      <c r="G36">
        <v>1</v>
      </c>
      <c r="H36">
        <v>1</v>
      </c>
      <c r="I36" t="s">
        <v>23</v>
      </c>
      <c r="K36" t="s">
        <v>233</v>
      </c>
      <c r="L36">
        <v>608254</v>
      </c>
      <c r="N36">
        <v>1013</v>
      </c>
      <c r="O36" t="s">
        <v>234</v>
      </c>
      <c r="P36" t="s">
        <v>234</v>
      </c>
      <c r="Q36">
        <v>1</v>
      </c>
      <c r="X36">
        <v>0.56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2</v>
      </c>
      <c r="AG36">
        <v>0.56</v>
      </c>
      <c r="AH36">
        <v>2</v>
      </c>
      <c r="AI36">
        <v>26918768</v>
      </c>
      <c r="AJ36">
        <v>32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ROW(Source!A30)</f>
        <v>30</v>
      </c>
      <c r="B37">
        <v>26918774</v>
      </c>
      <c r="C37">
        <v>26918766</v>
      </c>
      <c r="D37">
        <v>21330172</v>
      </c>
      <c r="E37">
        <v>1</v>
      </c>
      <c r="F37">
        <v>1</v>
      </c>
      <c r="G37">
        <v>1</v>
      </c>
      <c r="H37">
        <v>2</v>
      </c>
      <c r="I37" t="s">
        <v>244</v>
      </c>
      <c r="J37" t="s">
        <v>290</v>
      </c>
      <c r="K37" t="s">
        <v>246</v>
      </c>
      <c r="L37">
        <v>1368</v>
      </c>
      <c r="N37">
        <v>1011</v>
      </c>
      <c r="O37" t="s">
        <v>238</v>
      </c>
      <c r="P37" t="s">
        <v>238</v>
      </c>
      <c r="Q37">
        <v>1</v>
      </c>
      <c r="X37">
        <v>0.56</v>
      </c>
      <c r="Y37">
        <v>0</v>
      </c>
      <c r="Z37">
        <v>31.26</v>
      </c>
      <c r="AA37">
        <v>11.6</v>
      </c>
      <c r="AB37">
        <v>0</v>
      </c>
      <c r="AC37">
        <v>0</v>
      </c>
      <c r="AD37">
        <v>1</v>
      </c>
      <c r="AE37">
        <v>0</v>
      </c>
      <c r="AG37">
        <v>0.56</v>
      </c>
      <c r="AH37">
        <v>2</v>
      </c>
      <c r="AI37">
        <v>26918769</v>
      </c>
      <c r="AJ37">
        <v>33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ROW(Source!A30)</f>
        <v>30</v>
      </c>
      <c r="B38">
        <v>26918775</v>
      </c>
      <c r="C38">
        <v>26918766</v>
      </c>
      <c r="D38">
        <v>21280770</v>
      </c>
      <c r="E38">
        <v>1</v>
      </c>
      <c r="F38">
        <v>1</v>
      </c>
      <c r="G38">
        <v>1</v>
      </c>
      <c r="H38">
        <v>2</v>
      </c>
      <c r="I38" t="s">
        <v>277</v>
      </c>
      <c r="J38" t="s">
        <v>291</v>
      </c>
      <c r="K38" t="s">
        <v>279</v>
      </c>
      <c r="L38">
        <v>1368</v>
      </c>
      <c r="N38">
        <v>1011</v>
      </c>
      <c r="O38" t="s">
        <v>238</v>
      </c>
      <c r="P38" t="s">
        <v>238</v>
      </c>
      <c r="Q38">
        <v>1</v>
      </c>
      <c r="X38">
        <v>0.56</v>
      </c>
      <c r="Y38">
        <v>0</v>
      </c>
      <c r="Z38">
        <v>87.17</v>
      </c>
      <c r="AA38">
        <v>11.6</v>
      </c>
      <c r="AB38">
        <v>0</v>
      </c>
      <c r="AC38">
        <v>0</v>
      </c>
      <c r="AD38">
        <v>1</v>
      </c>
      <c r="AE38">
        <v>0</v>
      </c>
      <c r="AG38">
        <v>0.56</v>
      </c>
      <c r="AH38">
        <v>2</v>
      </c>
      <c r="AI38">
        <v>26918770</v>
      </c>
      <c r="AJ38">
        <v>34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ROW(Source!A30)</f>
        <v>30</v>
      </c>
      <c r="B39">
        <v>26918776</v>
      </c>
      <c r="C39">
        <v>26918766</v>
      </c>
      <c r="D39">
        <v>21315968</v>
      </c>
      <c r="E39">
        <v>1</v>
      </c>
      <c r="F39">
        <v>1</v>
      </c>
      <c r="G39">
        <v>1</v>
      </c>
      <c r="H39">
        <v>3</v>
      </c>
      <c r="I39" t="s">
        <v>395</v>
      </c>
      <c r="J39" t="s">
        <v>396</v>
      </c>
      <c r="K39" t="s">
        <v>397</v>
      </c>
      <c r="L39">
        <v>1348</v>
      </c>
      <c r="N39">
        <v>1009</v>
      </c>
      <c r="O39" t="s">
        <v>115</v>
      </c>
      <c r="P39" t="s">
        <v>115</v>
      </c>
      <c r="Q39">
        <v>1000</v>
      </c>
      <c r="X39">
        <v>0.012</v>
      </c>
      <c r="Y39">
        <v>30030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G39">
        <v>0.012</v>
      </c>
      <c r="AH39">
        <v>3</v>
      </c>
      <c r="AI39">
        <v>-1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ROW(Source!A30)</f>
        <v>30</v>
      </c>
      <c r="B40">
        <v>26918777</v>
      </c>
      <c r="C40">
        <v>26918766</v>
      </c>
      <c r="D40">
        <v>21320948</v>
      </c>
      <c r="E40">
        <v>1</v>
      </c>
      <c r="F40">
        <v>1</v>
      </c>
      <c r="G40">
        <v>1</v>
      </c>
      <c r="H40">
        <v>3</v>
      </c>
      <c r="I40" t="s">
        <v>398</v>
      </c>
      <c r="J40" t="s">
        <v>399</v>
      </c>
      <c r="K40" t="s">
        <v>400</v>
      </c>
      <c r="L40">
        <v>1348</v>
      </c>
      <c r="N40">
        <v>1009</v>
      </c>
      <c r="O40" t="s">
        <v>115</v>
      </c>
      <c r="P40" t="s">
        <v>115</v>
      </c>
      <c r="Q40">
        <v>1000</v>
      </c>
      <c r="X40">
        <v>0.032</v>
      </c>
      <c r="Y40">
        <v>2165.8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G40">
        <v>0.032</v>
      </c>
      <c r="AH40">
        <v>3</v>
      </c>
      <c r="AI40">
        <v>-1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ROW(Source!A30)</f>
        <v>30</v>
      </c>
      <c r="B41">
        <v>26918778</v>
      </c>
      <c r="C41">
        <v>26918766</v>
      </c>
      <c r="D41">
        <v>21364636</v>
      </c>
      <c r="E41">
        <v>1</v>
      </c>
      <c r="F41">
        <v>1</v>
      </c>
      <c r="G41">
        <v>1</v>
      </c>
      <c r="H41">
        <v>3</v>
      </c>
      <c r="I41" t="s">
        <v>292</v>
      </c>
      <c r="J41" t="s">
        <v>293</v>
      </c>
      <c r="K41" t="s">
        <v>294</v>
      </c>
      <c r="L41">
        <v>1035</v>
      </c>
      <c r="N41">
        <v>1013</v>
      </c>
      <c r="O41" t="s">
        <v>295</v>
      </c>
      <c r="P41" t="s">
        <v>295</v>
      </c>
      <c r="Q41">
        <v>1</v>
      </c>
      <c r="X41">
        <v>100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G41">
        <v>100</v>
      </c>
      <c r="AH41">
        <v>2</v>
      </c>
      <c r="AI41">
        <v>26918771</v>
      </c>
      <c r="AJ41">
        <v>35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ROW(Source!A31)</f>
        <v>31</v>
      </c>
      <c r="B42">
        <v>27155016</v>
      </c>
      <c r="C42">
        <v>27155009</v>
      </c>
      <c r="D42">
        <v>9416110</v>
      </c>
      <c r="E42">
        <v>1</v>
      </c>
      <c r="F42">
        <v>1</v>
      </c>
      <c r="G42">
        <v>1</v>
      </c>
      <c r="H42">
        <v>1</v>
      </c>
      <c r="I42" t="s">
        <v>296</v>
      </c>
      <c r="K42" t="s">
        <v>297</v>
      </c>
      <c r="L42">
        <v>1369</v>
      </c>
      <c r="N42">
        <v>1013</v>
      </c>
      <c r="O42" t="s">
        <v>232</v>
      </c>
      <c r="P42" t="s">
        <v>232</v>
      </c>
      <c r="Q42">
        <v>1</v>
      </c>
      <c r="X42">
        <v>3.69</v>
      </c>
      <c r="Y42">
        <v>0</v>
      </c>
      <c r="Z42">
        <v>0</v>
      </c>
      <c r="AA42">
        <v>0</v>
      </c>
      <c r="AB42">
        <v>9.18</v>
      </c>
      <c r="AC42">
        <v>0</v>
      </c>
      <c r="AD42">
        <v>1</v>
      </c>
      <c r="AE42">
        <v>1</v>
      </c>
      <c r="AF42" t="s">
        <v>80</v>
      </c>
      <c r="AG42">
        <v>5.092199999999999</v>
      </c>
      <c r="AH42">
        <v>2</v>
      </c>
      <c r="AI42">
        <v>27155010</v>
      </c>
      <c r="AJ42">
        <v>36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ROW(Source!A31)</f>
        <v>31</v>
      </c>
      <c r="B43">
        <v>27155017</v>
      </c>
      <c r="C43">
        <v>27155009</v>
      </c>
      <c r="D43">
        <v>121548</v>
      </c>
      <c r="E43">
        <v>1</v>
      </c>
      <c r="F43">
        <v>1</v>
      </c>
      <c r="G43">
        <v>1</v>
      </c>
      <c r="H43">
        <v>1</v>
      </c>
      <c r="I43" t="s">
        <v>23</v>
      </c>
      <c r="K43" t="s">
        <v>233</v>
      </c>
      <c r="L43">
        <v>608254</v>
      </c>
      <c r="N43">
        <v>1013</v>
      </c>
      <c r="O43" t="s">
        <v>234</v>
      </c>
      <c r="P43" t="s">
        <v>234</v>
      </c>
      <c r="Q43">
        <v>1</v>
      </c>
      <c r="X43">
        <v>0.01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2</v>
      </c>
      <c r="AF43" t="s">
        <v>79</v>
      </c>
      <c r="AG43">
        <v>0.015</v>
      </c>
      <c r="AH43">
        <v>2</v>
      </c>
      <c r="AI43">
        <v>27155011</v>
      </c>
      <c r="AJ43">
        <v>37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ROW(Source!A31)</f>
        <v>31</v>
      </c>
      <c r="B44">
        <v>27155018</v>
      </c>
      <c r="C44">
        <v>27155009</v>
      </c>
      <c r="D44">
        <v>24327143</v>
      </c>
      <c r="E44">
        <v>1</v>
      </c>
      <c r="F44">
        <v>1</v>
      </c>
      <c r="G44">
        <v>1</v>
      </c>
      <c r="H44">
        <v>2</v>
      </c>
      <c r="I44" t="s">
        <v>298</v>
      </c>
      <c r="J44" t="s">
        <v>299</v>
      </c>
      <c r="K44" t="s">
        <v>300</v>
      </c>
      <c r="L44">
        <v>1368</v>
      </c>
      <c r="N44">
        <v>1011</v>
      </c>
      <c r="O44" t="s">
        <v>238</v>
      </c>
      <c r="P44" t="s">
        <v>238</v>
      </c>
      <c r="Q44">
        <v>1</v>
      </c>
      <c r="X44">
        <v>0.01</v>
      </c>
      <c r="Y44">
        <v>0</v>
      </c>
      <c r="Z44">
        <v>27.66</v>
      </c>
      <c r="AA44">
        <v>11.6</v>
      </c>
      <c r="AB44">
        <v>0</v>
      </c>
      <c r="AC44">
        <v>0</v>
      </c>
      <c r="AD44">
        <v>1</v>
      </c>
      <c r="AE44">
        <v>0</v>
      </c>
      <c r="AF44" t="s">
        <v>79</v>
      </c>
      <c r="AG44">
        <v>0.015</v>
      </c>
      <c r="AH44">
        <v>2</v>
      </c>
      <c r="AI44">
        <v>27155012</v>
      </c>
      <c r="AJ44">
        <v>38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ROW(Source!A31)</f>
        <v>31</v>
      </c>
      <c r="B45">
        <v>27155019</v>
      </c>
      <c r="C45">
        <v>27155009</v>
      </c>
      <c r="D45">
        <v>24297430</v>
      </c>
      <c r="E45">
        <v>1</v>
      </c>
      <c r="F45">
        <v>1</v>
      </c>
      <c r="G45">
        <v>1</v>
      </c>
      <c r="H45">
        <v>2</v>
      </c>
      <c r="I45" t="s">
        <v>301</v>
      </c>
      <c r="J45" t="s">
        <v>302</v>
      </c>
      <c r="K45" t="s">
        <v>303</v>
      </c>
      <c r="L45">
        <v>1368</v>
      </c>
      <c r="N45">
        <v>1011</v>
      </c>
      <c r="O45" t="s">
        <v>238</v>
      </c>
      <c r="P45" t="s">
        <v>238</v>
      </c>
      <c r="Q45">
        <v>1</v>
      </c>
      <c r="X45">
        <v>2.82</v>
      </c>
      <c r="Y45">
        <v>0</v>
      </c>
      <c r="Z45">
        <v>6.82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79</v>
      </c>
      <c r="AG45">
        <v>4.2299999999999995</v>
      </c>
      <c r="AH45">
        <v>2</v>
      </c>
      <c r="AI45">
        <v>27155013</v>
      </c>
      <c r="AJ45">
        <v>39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ROW(Source!A31)</f>
        <v>31</v>
      </c>
      <c r="B46">
        <v>27155020</v>
      </c>
      <c r="C46">
        <v>27155009</v>
      </c>
      <c r="D46">
        <v>24262102</v>
      </c>
      <c r="E46">
        <v>1</v>
      </c>
      <c r="F46">
        <v>1</v>
      </c>
      <c r="G46">
        <v>1</v>
      </c>
      <c r="H46">
        <v>2</v>
      </c>
      <c r="I46" t="s">
        <v>277</v>
      </c>
      <c r="J46" t="s">
        <v>278</v>
      </c>
      <c r="K46" t="s">
        <v>279</v>
      </c>
      <c r="L46">
        <v>1368</v>
      </c>
      <c r="N46">
        <v>1011</v>
      </c>
      <c r="O46" t="s">
        <v>238</v>
      </c>
      <c r="P46" t="s">
        <v>238</v>
      </c>
      <c r="Q46">
        <v>1</v>
      </c>
      <c r="X46">
        <v>0.04</v>
      </c>
      <c r="Y46">
        <v>0</v>
      </c>
      <c r="Z46">
        <v>87.17</v>
      </c>
      <c r="AA46">
        <v>11.6</v>
      </c>
      <c r="AB46">
        <v>0</v>
      </c>
      <c r="AC46">
        <v>0</v>
      </c>
      <c r="AD46">
        <v>1</v>
      </c>
      <c r="AE46">
        <v>0</v>
      </c>
      <c r="AF46" t="s">
        <v>79</v>
      </c>
      <c r="AG46">
        <v>0.06</v>
      </c>
      <c r="AH46">
        <v>2</v>
      </c>
      <c r="AI46">
        <v>27157157</v>
      </c>
      <c r="AJ46">
        <v>40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ROW(Source!A31)</f>
        <v>31</v>
      </c>
      <c r="B47">
        <v>27155021</v>
      </c>
      <c r="C47">
        <v>27155009</v>
      </c>
      <c r="D47">
        <v>24302728</v>
      </c>
      <c r="E47">
        <v>1</v>
      </c>
      <c r="F47">
        <v>1</v>
      </c>
      <c r="G47">
        <v>1</v>
      </c>
      <c r="H47">
        <v>3</v>
      </c>
      <c r="I47" t="s">
        <v>305</v>
      </c>
      <c r="J47" t="s">
        <v>306</v>
      </c>
      <c r="K47" t="s">
        <v>307</v>
      </c>
      <c r="L47">
        <v>1346</v>
      </c>
      <c r="N47">
        <v>1009</v>
      </c>
      <c r="O47" t="s">
        <v>308</v>
      </c>
      <c r="P47" t="s">
        <v>308</v>
      </c>
      <c r="Q47">
        <v>1</v>
      </c>
      <c r="X47">
        <v>1</v>
      </c>
      <c r="Y47">
        <v>1.82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G47">
        <v>1</v>
      </c>
      <c r="AH47">
        <v>2</v>
      </c>
      <c r="AI47">
        <v>27155014</v>
      </c>
      <c r="AJ47">
        <v>41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ROW(Source!A31)</f>
        <v>31</v>
      </c>
      <c r="B48">
        <v>27155022</v>
      </c>
      <c r="C48">
        <v>27155009</v>
      </c>
      <c r="D48">
        <v>24330157</v>
      </c>
      <c r="E48">
        <v>1</v>
      </c>
      <c r="F48">
        <v>1</v>
      </c>
      <c r="G48">
        <v>1</v>
      </c>
      <c r="H48">
        <v>3</v>
      </c>
      <c r="I48" t="s">
        <v>309</v>
      </c>
      <c r="J48" t="s">
        <v>310</v>
      </c>
      <c r="K48" t="s">
        <v>311</v>
      </c>
      <c r="L48">
        <v>1346</v>
      </c>
      <c r="N48">
        <v>1009</v>
      </c>
      <c r="O48" t="s">
        <v>308</v>
      </c>
      <c r="P48" t="s">
        <v>308</v>
      </c>
      <c r="Q48">
        <v>1</v>
      </c>
      <c r="X48">
        <v>13.8</v>
      </c>
      <c r="Y48">
        <v>15.25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G48">
        <v>13.8</v>
      </c>
      <c r="AH48">
        <v>2</v>
      </c>
      <c r="AI48">
        <v>27155015</v>
      </c>
      <c r="AJ48">
        <v>42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ROW(Source!A31)</f>
        <v>31</v>
      </c>
      <c r="B49">
        <v>27155023</v>
      </c>
      <c r="C49">
        <v>27155009</v>
      </c>
      <c r="D49">
        <v>24262983</v>
      </c>
      <c r="E49">
        <v>1</v>
      </c>
      <c r="F49">
        <v>1</v>
      </c>
      <c r="G49">
        <v>1</v>
      </c>
      <c r="H49">
        <v>3</v>
      </c>
      <c r="I49" t="s">
        <v>376</v>
      </c>
      <c r="J49" t="s">
        <v>377</v>
      </c>
      <c r="K49" t="s">
        <v>378</v>
      </c>
      <c r="L49">
        <v>1339</v>
      </c>
      <c r="N49">
        <v>1007</v>
      </c>
      <c r="O49" t="s">
        <v>263</v>
      </c>
      <c r="P49" t="s">
        <v>263</v>
      </c>
      <c r="Q49">
        <v>1</v>
      </c>
      <c r="X49">
        <v>0.01</v>
      </c>
      <c r="Y49">
        <v>2.44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G49">
        <v>0.01</v>
      </c>
      <c r="AH49">
        <v>3</v>
      </c>
      <c r="AI49">
        <v>-1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ROW(Source!A32)</f>
        <v>32</v>
      </c>
      <c r="B50">
        <v>27149418</v>
      </c>
      <c r="C50">
        <v>27149408</v>
      </c>
      <c r="D50">
        <v>9417175</v>
      </c>
      <c r="E50">
        <v>1</v>
      </c>
      <c r="F50">
        <v>1</v>
      </c>
      <c r="G50">
        <v>1</v>
      </c>
      <c r="H50">
        <v>1</v>
      </c>
      <c r="I50" t="s">
        <v>312</v>
      </c>
      <c r="K50" t="s">
        <v>313</v>
      </c>
      <c r="L50">
        <v>1369</v>
      </c>
      <c r="N50">
        <v>1013</v>
      </c>
      <c r="O50" t="s">
        <v>232</v>
      </c>
      <c r="P50" t="s">
        <v>232</v>
      </c>
      <c r="Q50">
        <v>1</v>
      </c>
      <c r="X50">
        <v>5.11</v>
      </c>
      <c r="Y50">
        <v>0</v>
      </c>
      <c r="Z50">
        <v>0</v>
      </c>
      <c r="AA50">
        <v>0</v>
      </c>
      <c r="AB50">
        <v>10.06</v>
      </c>
      <c r="AC50">
        <v>0</v>
      </c>
      <c r="AD50">
        <v>1</v>
      </c>
      <c r="AE50">
        <v>1</v>
      </c>
      <c r="AF50" t="s">
        <v>38</v>
      </c>
      <c r="AG50">
        <v>7.0518</v>
      </c>
      <c r="AH50">
        <v>2</v>
      </c>
      <c r="AI50">
        <v>27149409</v>
      </c>
      <c r="AJ50">
        <v>43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ROW(Source!A32)</f>
        <v>32</v>
      </c>
      <c r="B51">
        <v>27149419</v>
      </c>
      <c r="C51">
        <v>27149408</v>
      </c>
      <c r="D51">
        <v>121548</v>
      </c>
      <c r="E51">
        <v>1</v>
      </c>
      <c r="F51">
        <v>1</v>
      </c>
      <c r="G51">
        <v>1</v>
      </c>
      <c r="H51">
        <v>1</v>
      </c>
      <c r="I51" t="s">
        <v>23</v>
      </c>
      <c r="K51" t="s">
        <v>233</v>
      </c>
      <c r="L51">
        <v>608254</v>
      </c>
      <c r="N51">
        <v>1013</v>
      </c>
      <c r="O51" t="s">
        <v>234</v>
      </c>
      <c r="P51" t="s">
        <v>234</v>
      </c>
      <c r="Q51">
        <v>1</v>
      </c>
      <c r="X51">
        <v>0.01</v>
      </c>
      <c r="Y51">
        <v>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2</v>
      </c>
      <c r="AF51" t="s">
        <v>37</v>
      </c>
      <c r="AG51">
        <v>0.015</v>
      </c>
      <c r="AH51">
        <v>2</v>
      </c>
      <c r="AI51">
        <v>27149410</v>
      </c>
      <c r="AJ51">
        <v>44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ROW(Source!A32)</f>
        <v>32</v>
      </c>
      <c r="B52">
        <v>27149420</v>
      </c>
      <c r="C52">
        <v>27149408</v>
      </c>
      <c r="D52">
        <v>24265924</v>
      </c>
      <c r="E52">
        <v>1</v>
      </c>
      <c r="F52">
        <v>1</v>
      </c>
      <c r="G52">
        <v>1</v>
      </c>
      <c r="H52">
        <v>2</v>
      </c>
      <c r="I52" t="s">
        <v>314</v>
      </c>
      <c r="J52" t="s">
        <v>315</v>
      </c>
      <c r="K52" t="s">
        <v>316</v>
      </c>
      <c r="L52">
        <v>1368</v>
      </c>
      <c r="N52">
        <v>1011</v>
      </c>
      <c r="O52" t="s">
        <v>238</v>
      </c>
      <c r="P52" t="s">
        <v>238</v>
      </c>
      <c r="Q52">
        <v>1</v>
      </c>
      <c r="X52">
        <v>0.01</v>
      </c>
      <c r="Y52">
        <v>0</v>
      </c>
      <c r="Z52">
        <v>89.99</v>
      </c>
      <c r="AA52">
        <v>10.06</v>
      </c>
      <c r="AB52">
        <v>0</v>
      </c>
      <c r="AC52">
        <v>0</v>
      </c>
      <c r="AD52">
        <v>1</v>
      </c>
      <c r="AE52">
        <v>0</v>
      </c>
      <c r="AF52" t="s">
        <v>37</v>
      </c>
      <c r="AG52">
        <v>0.015</v>
      </c>
      <c r="AH52">
        <v>2</v>
      </c>
      <c r="AI52">
        <v>27149411</v>
      </c>
      <c r="AJ52">
        <v>45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ROW(Source!A32)</f>
        <v>32</v>
      </c>
      <c r="B53">
        <v>27149421</v>
      </c>
      <c r="C53">
        <v>27149408</v>
      </c>
      <c r="D53">
        <v>24316761</v>
      </c>
      <c r="E53">
        <v>1</v>
      </c>
      <c r="F53">
        <v>1</v>
      </c>
      <c r="G53">
        <v>1</v>
      </c>
      <c r="H53">
        <v>2</v>
      </c>
      <c r="I53" t="s">
        <v>317</v>
      </c>
      <c r="J53" t="s">
        <v>318</v>
      </c>
      <c r="K53" t="s">
        <v>319</v>
      </c>
      <c r="L53">
        <v>1368</v>
      </c>
      <c r="N53">
        <v>1011</v>
      </c>
      <c r="O53" t="s">
        <v>238</v>
      </c>
      <c r="P53" t="s">
        <v>238</v>
      </c>
      <c r="Q53">
        <v>1</v>
      </c>
      <c r="X53">
        <v>0.01</v>
      </c>
      <c r="Y53">
        <v>0</v>
      </c>
      <c r="Z53">
        <v>1.7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37</v>
      </c>
      <c r="AG53">
        <v>0.015</v>
      </c>
      <c r="AH53">
        <v>2</v>
      </c>
      <c r="AI53">
        <v>27149412</v>
      </c>
      <c r="AJ53">
        <v>46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ROW(Source!A32)</f>
        <v>32</v>
      </c>
      <c r="B54">
        <v>27149422</v>
      </c>
      <c r="C54">
        <v>27149408</v>
      </c>
      <c r="D54">
        <v>24262102</v>
      </c>
      <c r="E54">
        <v>1</v>
      </c>
      <c r="F54">
        <v>1</v>
      </c>
      <c r="G54">
        <v>1</v>
      </c>
      <c r="H54">
        <v>2</v>
      </c>
      <c r="I54" t="s">
        <v>277</v>
      </c>
      <c r="J54" t="s">
        <v>278</v>
      </c>
      <c r="K54" t="s">
        <v>279</v>
      </c>
      <c r="L54">
        <v>1368</v>
      </c>
      <c r="N54">
        <v>1011</v>
      </c>
      <c r="O54" t="s">
        <v>238</v>
      </c>
      <c r="P54" t="s">
        <v>238</v>
      </c>
      <c r="Q54">
        <v>1</v>
      </c>
      <c r="X54">
        <v>0.01</v>
      </c>
      <c r="Y54">
        <v>0</v>
      </c>
      <c r="Z54">
        <v>87.17</v>
      </c>
      <c r="AA54">
        <v>11.6</v>
      </c>
      <c r="AB54">
        <v>0</v>
      </c>
      <c r="AC54">
        <v>0</v>
      </c>
      <c r="AD54">
        <v>1</v>
      </c>
      <c r="AE54">
        <v>0</v>
      </c>
      <c r="AF54" t="s">
        <v>37</v>
      </c>
      <c r="AG54">
        <v>0.015</v>
      </c>
      <c r="AH54">
        <v>2</v>
      </c>
      <c r="AI54">
        <v>27149413</v>
      </c>
      <c r="AJ54">
        <v>47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ROW(Source!A32)</f>
        <v>32</v>
      </c>
      <c r="B55">
        <v>27149423</v>
      </c>
      <c r="C55">
        <v>27149408</v>
      </c>
      <c r="D55">
        <v>24317480</v>
      </c>
      <c r="E55">
        <v>1</v>
      </c>
      <c r="F55">
        <v>1</v>
      </c>
      <c r="G55">
        <v>1</v>
      </c>
      <c r="H55">
        <v>3</v>
      </c>
      <c r="I55" t="s">
        <v>320</v>
      </c>
      <c r="J55" t="s">
        <v>321</v>
      </c>
      <c r="K55" t="s">
        <v>322</v>
      </c>
      <c r="L55">
        <v>1348</v>
      </c>
      <c r="N55">
        <v>1009</v>
      </c>
      <c r="O55" t="s">
        <v>115</v>
      </c>
      <c r="P55" t="s">
        <v>115</v>
      </c>
      <c r="Q55">
        <v>1000</v>
      </c>
      <c r="X55">
        <v>0.00044</v>
      </c>
      <c r="Y55">
        <v>4488.4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G55">
        <v>0.00044</v>
      </c>
      <c r="AH55">
        <v>2</v>
      </c>
      <c r="AI55">
        <v>27149414</v>
      </c>
      <c r="AJ55">
        <v>48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ROW(Source!A32)</f>
        <v>32</v>
      </c>
      <c r="B56">
        <v>27149424</v>
      </c>
      <c r="C56">
        <v>27149408</v>
      </c>
      <c r="D56">
        <v>24334447</v>
      </c>
      <c r="E56">
        <v>1</v>
      </c>
      <c r="F56">
        <v>1</v>
      </c>
      <c r="G56">
        <v>1</v>
      </c>
      <c r="H56">
        <v>3</v>
      </c>
      <c r="I56" t="s">
        <v>323</v>
      </c>
      <c r="J56" t="s">
        <v>324</v>
      </c>
      <c r="K56" t="s">
        <v>325</v>
      </c>
      <c r="L56">
        <v>1346</v>
      </c>
      <c r="N56">
        <v>1009</v>
      </c>
      <c r="O56" t="s">
        <v>308</v>
      </c>
      <c r="P56" t="s">
        <v>308</v>
      </c>
      <c r="Q56">
        <v>1</v>
      </c>
      <c r="X56">
        <v>1.6</v>
      </c>
      <c r="Y56">
        <v>28.93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G56">
        <v>1.6</v>
      </c>
      <c r="AH56">
        <v>2</v>
      </c>
      <c r="AI56">
        <v>27149415</v>
      </c>
      <c r="AJ56">
        <v>49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ROW(Source!A32)</f>
        <v>32</v>
      </c>
      <c r="B57">
        <v>27149425</v>
      </c>
      <c r="C57">
        <v>27149408</v>
      </c>
      <c r="D57">
        <v>24334448</v>
      </c>
      <c r="E57">
        <v>1</v>
      </c>
      <c r="F57">
        <v>1</v>
      </c>
      <c r="G57">
        <v>1</v>
      </c>
      <c r="H57">
        <v>3</v>
      </c>
      <c r="I57" t="s">
        <v>326</v>
      </c>
      <c r="J57" t="s">
        <v>327</v>
      </c>
      <c r="K57" t="s">
        <v>328</v>
      </c>
      <c r="L57">
        <v>1348</v>
      </c>
      <c r="N57">
        <v>1009</v>
      </c>
      <c r="O57" t="s">
        <v>115</v>
      </c>
      <c r="P57" t="s">
        <v>115</v>
      </c>
      <c r="Q57">
        <v>1000</v>
      </c>
      <c r="X57">
        <v>0.00028</v>
      </c>
      <c r="Y57">
        <v>43070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G57">
        <v>0.00028</v>
      </c>
      <c r="AH57">
        <v>2</v>
      </c>
      <c r="AI57">
        <v>27149416</v>
      </c>
      <c r="AJ57">
        <v>50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ROW(Source!A32)</f>
        <v>32</v>
      </c>
      <c r="B58">
        <v>27149426</v>
      </c>
      <c r="C58">
        <v>27149408</v>
      </c>
      <c r="D58">
        <v>24334475</v>
      </c>
      <c r="E58">
        <v>1</v>
      </c>
      <c r="F58">
        <v>1</v>
      </c>
      <c r="G58">
        <v>1</v>
      </c>
      <c r="H58">
        <v>3</v>
      </c>
      <c r="I58" t="s">
        <v>329</v>
      </c>
      <c r="J58" t="s">
        <v>330</v>
      </c>
      <c r="K58" t="s">
        <v>331</v>
      </c>
      <c r="L58">
        <v>1348</v>
      </c>
      <c r="N58">
        <v>1009</v>
      </c>
      <c r="O58" t="s">
        <v>115</v>
      </c>
      <c r="P58" t="s">
        <v>115</v>
      </c>
      <c r="Q58">
        <v>1000</v>
      </c>
      <c r="X58">
        <v>0.00773</v>
      </c>
      <c r="Y58">
        <v>23080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G58">
        <v>0.00773</v>
      </c>
      <c r="AH58">
        <v>2</v>
      </c>
      <c r="AI58">
        <v>27149417</v>
      </c>
      <c r="AJ58">
        <v>51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ROW(Source!A33)</f>
        <v>33</v>
      </c>
      <c r="B59">
        <v>27149439</v>
      </c>
      <c r="C59">
        <v>27149427</v>
      </c>
      <c r="D59">
        <v>9419296</v>
      </c>
      <c r="E59">
        <v>1</v>
      </c>
      <c r="F59">
        <v>1</v>
      </c>
      <c r="G59">
        <v>1</v>
      </c>
      <c r="H59">
        <v>1</v>
      </c>
      <c r="I59" t="s">
        <v>332</v>
      </c>
      <c r="K59" t="s">
        <v>333</v>
      </c>
      <c r="L59">
        <v>1369</v>
      </c>
      <c r="N59">
        <v>1013</v>
      </c>
      <c r="O59" t="s">
        <v>232</v>
      </c>
      <c r="P59" t="s">
        <v>232</v>
      </c>
      <c r="Q59">
        <v>1</v>
      </c>
      <c r="X59">
        <v>3.83</v>
      </c>
      <c r="Y59">
        <v>0</v>
      </c>
      <c r="Z59">
        <v>0</v>
      </c>
      <c r="AA59">
        <v>0</v>
      </c>
      <c r="AB59">
        <v>10.5</v>
      </c>
      <c r="AC59">
        <v>0</v>
      </c>
      <c r="AD59">
        <v>1</v>
      </c>
      <c r="AE59">
        <v>1</v>
      </c>
      <c r="AF59" t="s">
        <v>38</v>
      </c>
      <c r="AG59">
        <v>5.285399999999999</v>
      </c>
      <c r="AH59">
        <v>2</v>
      </c>
      <c r="AI59">
        <v>27149428</v>
      </c>
      <c r="AJ59">
        <v>52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ROW(Source!A33)</f>
        <v>33</v>
      </c>
      <c r="B60">
        <v>27149440</v>
      </c>
      <c r="C60">
        <v>27149427</v>
      </c>
      <c r="D60">
        <v>121548</v>
      </c>
      <c r="E60">
        <v>1</v>
      </c>
      <c r="F60">
        <v>1</v>
      </c>
      <c r="G60">
        <v>1</v>
      </c>
      <c r="H60">
        <v>1</v>
      </c>
      <c r="I60" t="s">
        <v>23</v>
      </c>
      <c r="K60" t="s">
        <v>233</v>
      </c>
      <c r="L60">
        <v>608254</v>
      </c>
      <c r="N60">
        <v>1013</v>
      </c>
      <c r="O60" t="s">
        <v>234</v>
      </c>
      <c r="P60" t="s">
        <v>234</v>
      </c>
      <c r="Q60">
        <v>1</v>
      </c>
      <c r="X60">
        <v>0.14</v>
      </c>
      <c r="Y60">
        <v>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2</v>
      </c>
      <c r="AF60" t="s">
        <v>37</v>
      </c>
      <c r="AG60">
        <v>0.21000000000000002</v>
      </c>
      <c r="AH60">
        <v>2</v>
      </c>
      <c r="AI60">
        <v>27149429</v>
      </c>
      <c r="AJ60">
        <v>53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ROW(Source!A33)</f>
        <v>33</v>
      </c>
      <c r="B61">
        <v>27149441</v>
      </c>
      <c r="C61">
        <v>27149427</v>
      </c>
      <c r="D61">
        <v>24265924</v>
      </c>
      <c r="E61">
        <v>1</v>
      </c>
      <c r="F61">
        <v>1</v>
      </c>
      <c r="G61">
        <v>1</v>
      </c>
      <c r="H61">
        <v>2</v>
      </c>
      <c r="I61" t="s">
        <v>314</v>
      </c>
      <c r="J61" t="s">
        <v>315</v>
      </c>
      <c r="K61" t="s">
        <v>316</v>
      </c>
      <c r="L61">
        <v>1368</v>
      </c>
      <c r="N61">
        <v>1011</v>
      </c>
      <c r="O61" t="s">
        <v>238</v>
      </c>
      <c r="P61" t="s">
        <v>238</v>
      </c>
      <c r="Q61">
        <v>1</v>
      </c>
      <c r="X61">
        <v>0.01</v>
      </c>
      <c r="Y61">
        <v>0</v>
      </c>
      <c r="Z61">
        <v>89.99</v>
      </c>
      <c r="AA61">
        <v>10.06</v>
      </c>
      <c r="AB61">
        <v>0</v>
      </c>
      <c r="AC61">
        <v>0</v>
      </c>
      <c r="AD61">
        <v>1</v>
      </c>
      <c r="AE61">
        <v>0</v>
      </c>
      <c r="AF61" t="s">
        <v>37</v>
      </c>
      <c r="AG61">
        <v>0.015</v>
      </c>
      <c r="AH61">
        <v>2</v>
      </c>
      <c r="AI61">
        <v>27149430</v>
      </c>
      <c r="AJ61">
        <v>54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ROW(Source!A33)</f>
        <v>33</v>
      </c>
      <c r="B62">
        <v>27149442</v>
      </c>
      <c r="C62">
        <v>27149427</v>
      </c>
      <c r="D62">
        <v>24316761</v>
      </c>
      <c r="E62">
        <v>1</v>
      </c>
      <c r="F62">
        <v>1</v>
      </c>
      <c r="G62">
        <v>1</v>
      </c>
      <c r="H62">
        <v>2</v>
      </c>
      <c r="I62" t="s">
        <v>317</v>
      </c>
      <c r="J62" t="s">
        <v>318</v>
      </c>
      <c r="K62" t="s">
        <v>319</v>
      </c>
      <c r="L62">
        <v>1368</v>
      </c>
      <c r="N62">
        <v>1011</v>
      </c>
      <c r="O62" t="s">
        <v>238</v>
      </c>
      <c r="P62" t="s">
        <v>238</v>
      </c>
      <c r="Q62">
        <v>1</v>
      </c>
      <c r="X62">
        <v>0.02</v>
      </c>
      <c r="Y62">
        <v>0</v>
      </c>
      <c r="Z62">
        <v>1.7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37</v>
      </c>
      <c r="AG62">
        <v>0.03</v>
      </c>
      <c r="AH62">
        <v>2</v>
      </c>
      <c r="AI62">
        <v>27149431</v>
      </c>
      <c r="AJ62">
        <v>55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ROW(Source!A33)</f>
        <v>33</v>
      </c>
      <c r="B63">
        <v>27149443</v>
      </c>
      <c r="C63">
        <v>27149427</v>
      </c>
      <c r="D63">
        <v>24313971</v>
      </c>
      <c r="E63">
        <v>1</v>
      </c>
      <c r="F63">
        <v>1</v>
      </c>
      <c r="G63">
        <v>1</v>
      </c>
      <c r="H63">
        <v>2</v>
      </c>
      <c r="I63" t="s">
        <v>334</v>
      </c>
      <c r="J63" t="s">
        <v>335</v>
      </c>
      <c r="K63" t="s">
        <v>336</v>
      </c>
      <c r="L63">
        <v>1368</v>
      </c>
      <c r="N63">
        <v>1011</v>
      </c>
      <c r="O63" t="s">
        <v>238</v>
      </c>
      <c r="P63" t="s">
        <v>238</v>
      </c>
      <c r="Q63">
        <v>1</v>
      </c>
      <c r="X63">
        <v>0.04</v>
      </c>
      <c r="Y63">
        <v>0</v>
      </c>
      <c r="Z63">
        <v>12.39</v>
      </c>
      <c r="AA63">
        <v>10.06</v>
      </c>
      <c r="AB63">
        <v>0</v>
      </c>
      <c r="AC63">
        <v>0</v>
      </c>
      <c r="AD63">
        <v>1</v>
      </c>
      <c r="AE63">
        <v>0</v>
      </c>
      <c r="AF63" t="s">
        <v>37</v>
      </c>
      <c r="AG63">
        <v>0.06</v>
      </c>
      <c r="AH63">
        <v>2</v>
      </c>
      <c r="AI63">
        <v>27149432</v>
      </c>
      <c r="AJ63">
        <v>56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ROW(Source!A33)</f>
        <v>33</v>
      </c>
      <c r="B64">
        <v>27149444</v>
      </c>
      <c r="C64">
        <v>27149427</v>
      </c>
      <c r="D64">
        <v>24330881</v>
      </c>
      <c r="E64">
        <v>1</v>
      </c>
      <c r="F64">
        <v>1</v>
      </c>
      <c r="G64">
        <v>1</v>
      </c>
      <c r="H64">
        <v>2</v>
      </c>
      <c r="I64" t="s">
        <v>337</v>
      </c>
      <c r="J64" t="s">
        <v>338</v>
      </c>
      <c r="K64" t="s">
        <v>339</v>
      </c>
      <c r="L64">
        <v>1368</v>
      </c>
      <c r="N64">
        <v>1011</v>
      </c>
      <c r="O64" t="s">
        <v>238</v>
      </c>
      <c r="P64" t="s">
        <v>238</v>
      </c>
      <c r="Q64">
        <v>1</v>
      </c>
      <c r="X64">
        <v>0.09</v>
      </c>
      <c r="Y64">
        <v>0</v>
      </c>
      <c r="Z64">
        <v>30.4</v>
      </c>
      <c r="AA64">
        <v>10.06</v>
      </c>
      <c r="AB64">
        <v>0</v>
      </c>
      <c r="AC64">
        <v>0</v>
      </c>
      <c r="AD64">
        <v>1</v>
      </c>
      <c r="AE64">
        <v>0</v>
      </c>
      <c r="AF64" t="s">
        <v>37</v>
      </c>
      <c r="AG64">
        <v>0.13499999999999998</v>
      </c>
      <c r="AH64">
        <v>2</v>
      </c>
      <c r="AI64">
        <v>27149433</v>
      </c>
      <c r="AJ64">
        <v>57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ROW(Source!A33)</f>
        <v>33</v>
      </c>
      <c r="B65">
        <v>27149445</v>
      </c>
      <c r="C65">
        <v>27149427</v>
      </c>
      <c r="D65">
        <v>24262102</v>
      </c>
      <c r="E65">
        <v>1</v>
      </c>
      <c r="F65">
        <v>1</v>
      </c>
      <c r="G65">
        <v>1</v>
      </c>
      <c r="H65">
        <v>2</v>
      </c>
      <c r="I65" t="s">
        <v>277</v>
      </c>
      <c r="J65" t="s">
        <v>278</v>
      </c>
      <c r="K65" t="s">
        <v>279</v>
      </c>
      <c r="L65">
        <v>1368</v>
      </c>
      <c r="N65">
        <v>1011</v>
      </c>
      <c r="O65" t="s">
        <v>238</v>
      </c>
      <c r="P65" t="s">
        <v>238</v>
      </c>
      <c r="Q65">
        <v>1</v>
      </c>
      <c r="X65">
        <v>0.06</v>
      </c>
      <c r="Y65">
        <v>0</v>
      </c>
      <c r="Z65">
        <v>87.17</v>
      </c>
      <c r="AA65">
        <v>11.6</v>
      </c>
      <c r="AB65">
        <v>0</v>
      </c>
      <c r="AC65">
        <v>0</v>
      </c>
      <c r="AD65">
        <v>1</v>
      </c>
      <c r="AE65">
        <v>0</v>
      </c>
      <c r="AF65" t="s">
        <v>37</v>
      </c>
      <c r="AG65">
        <v>0.09</v>
      </c>
      <c r="AH65">
        <v>2</v>
      </c>
      <c r="AI65">
        <v>27149434</v>
      </c>
      <c r="AJ65">
        <v>58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ROW(Source!A33)</f>
        <v>33</v>
      </c>
      <c r="B66">
        <v>27149446</v>
      </c>
      <c r="C66">
        <v>27149427</v>
      </c>
      <c r="D66">
        <v>24330345</v>
      </c>
      <c r="E66">
        <v>1</v>
      </c>
      <c r="F66">
        <v>1</v>
      </c>
      <c r="G66">
        <v>1</v>
      </c>
      <c r="H66">
        <v>3</v>
      </c>
      <c r="I66" t="s">
        <v>340</v>
      </c>
      <c r="J66" t="s">
        <v>341</v>
      </c>
      <c r="K66" t="s">
        <v>342</v>
      </c>
      <c r="L66">
        <v>1348</v>
      </c>
      <c r="N66">
        <v>1009</v>
      </c>
      <c r="O66" t="s">
        <v>115</v>
      </c>
      <c r="P66" t="s">
        <v>115</v>
      </c>
      <c r="Q66">
        <v>1000</v>
      </c>
      <c r="X66">
        <v>0.00127</v>
      </c>
      <c r="Y66">
        <v>7062.5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G66">
        <v>0.00127</v>
      </c>
      <c r="AH66">
        <v>2</v>
      </c>
      <c r="AI66">
        <v>27149435</v>
      </c>
      <c r="AJ66">
        <v>59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ROW(Source!A33)</f>
        <v>33</v>
      </c>
      <c r="B67">
        <v>27149447</v>
      </c>
      <c r="C67">
        <v>27149427</v>
      </c>
      <c r="D67">
        <v>24330346</v>
      </c>
      <c r="E67">
        <v>1</v>
      </c>
      <c r="F67">
        <v>1</v>
      </c>
      <c r="G67">
        <v>1</v>
      </c>
      <c r="H67">
        <v>3</v>
      </c>
      <c r="I67" t="s">
        <v>343</v>
      </c>
      <c r="J67" t="s">
        <v>344</v>
      </c>
      <c r="K67" t="s">
        <v>345</v>
      </c>
      <c r="L67">
        <v>1348</v>
      </c>
      <c r="N67">
        <v>1009</v>
      </c>
      <c r="O67" t="s">
        <v>115</v>
      </c>
      <c r="P67" t="s">
        <v>115</v>
      </c>
      <c r="Q67">
        <v>1000</v>
      </c>
      <c r="X67">
        <v>0.00847</v>
      </c>
      <c r="Y67">
        <v>2734.6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G67">
        <v>0.00847</v>
      </c>
      <c r="AH67">
        <v>2</v>
      </c>
      <c r="AI67">
        <v>27149436</v>
      </c>
      <c r="AJ67">
        <v>60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ROW(Source!A33)</f>
        <v>33</v>
      </c>
      <c r="B68">
        <v>27149448</v>
      </c>
      <c r="C68">
        <v>27149427</v>
      </c>
      <c r="D68">
        <v>24332683</v>
      </c>
      <c r="E68">
        <v>1</v>
      </c>
      <c r="F68">
        <v>1</v>
      </c>
      <c r="G68">
        <v>1</v>
      </c>
      <c r="H68">
        <v>3</v>
      </c>
      <c r="I68" t="s">
        <v>346</v>
      </c>
      <c r="J68" t="s">
        <v>347</v>
      </c>
      <c r="K68" t="s">
        <v>348</v>
      </c>
      <c r="L68">
        <v>1327</v>
      </c>
      <c r="N68">
        <v>1005</v>
      </c>
      <c r="O68" t="s">
        <v>253</v>
      </c>
      <c r="P68" t="s">
        <v>253</v>
      </c>
      <c r="Q68">
        <v>1</v>
      </c>
      <c r="X68">
        <v>1.02</v>
      </c>
      <c r="Y68">
        <v>107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G68">
        <v>1.02</v>
      </c>
      <c r="AH68">
        <v>2</v>
      </c>
      <c r="AI68">
        <v>27149437</v>
      </c>
      <c r="AJ68">
        <v>61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ROW(Source!A33)</f>
        <v>33</v>
      </c>
      <c r="B69">
        <v>27149449</v>
      </c>
      <c r="C69">
        <v>27149427</v>
      </c>
      <c r="D69">
        <v>24330556</v>
      </c>
      <c r="E69">
        <v>1</v>
      </c>
      <c r="F69">
        <v>1</v>
      </c>
      <c r="G69">
        <v>1</v>
      </c>
      <c r="H69">
        <v>3</v>
      </c>
      <c r="I69" t="s">
        <v>349</v>
      </c>
      <c r="J69" t="s">
        <v>350</v>
      </c>
      <c r="K69" t="s">
        <v>351</v>
      </c>
      <c r="L69">
        <v>1348</v>
      </c>
      <c r="N69">
        <v>1009</v>
      </c>
      <c r="O69" t="s">
        <v>115</v>
      </c>
      <c r="P69" t="s">
        <v>115</v>
      </c>
      <c r="Q69">
        <v>1000</v>
      </c>
      <c r="X69">
        <v>0.0189</v>
      </c>
      <c r="Y69">
        <v>1234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G69">
        <v>0.0189</v>
      </c>
      <c r="AH69">
        <v>2</v>
      </c>
      <c r="AI69">
        <v>27149438</v>
      </c>
      <c r="AJ69">
        <v>62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ROW(Source!A34)</f>
        <v>34</v>
      </c>
      <c r="B70">
        <v>27149461</v>
      </c>
      <c r="C70">
        <v>27149450</v>
      </c>
      <c r="D70">
        <v>9419296</v>
      </c>
      <c r="E70">
        <v>1</v>
      </c>
      <c r="F70">
        <v>1</v>
      </c>
      <c r="G70">
        <v>1</v>
      </c>
      <c r="H70">
        <v>1</v>
      </c>
      <c r="I70" t="s">
        <v>332</v>
      </c>
      <c r="K70" t="s">
        <v>333</v>
      </c>
      <c r="L70">
        <v>1369</v>
      </c>
      <c r="N70">
        <v>1013</v>
      </c>
      <c r="O70" t="s">
        <v>232</v>
      </c>
      <c r="P70" t="s">
        <v>232</v>
      </c>
      <c r="Q70">
        <v>1</v>
      </c>
      <c r="X70">
        <v>2.12</v>
      </c>
      <c r="Y70">
        <v>0</v>
      </c>
      <c r="Z70">
        <v>0</v>
      </c>
      <c r="AA70">
        <v>0</v>
      </c>
      <c r="AB70">
        <v>10.5</v>
      </c>
      <c r="AC70">
        <v>0</v>
      </c>
      <c r="AD70">
        <v>1</v>
      </c>
      <c r="AE70">
        <v>1</v>
      </c>
      <c r="AF70" t="s">
        <v>38</v>
      </c>
      <c r="AG70">
        <v>2.9255999999999998</v>
      </c>
      <c r="AH70">
        <v>2</v>
      </c>
      <c r="AI70">
        <v>27149451</v>
      </c>
      <c r="AJ70">
        <v>63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ROW(Source!A34)</f>
        <v>34</v>
      </c>
      <c r="B71">
        <v>27149462</v>
      </c>
      <c r="C71">
        <v>27149450</v>
      </c>
      <c r="D71">
        <v>121548</v>
      </c>
      <c r="E71">
        <v>1</v>
      </c>
      <c r="F71">
        <v>1</v>
      </c>
      <c r="G71">
        <v>1</v>
      </c>
      <c r="H71">
        <v>1</v>
      </c>
      <c r="I71" t="s">
        <v>23</v>
      </c>
      <c r="K71" t="s">
        <v>233</v>
      </c>
      <c r="L71">
        <v>608254</v>
      </c>
      <c r="N71">
        <v>1013</v>
      </c>
      <c r="O71" t="s">
        <v>234</v>
      </c>
      <c r="P71" t="s">
        <v>234</v>
      </c>
      <c r="Q71">
        <v>1</v>
      </c>
      <c r="X71">
        <v>0.05</v>
      </c>
      <c r="Y71">
        <v>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2</v>
      </c>
      <c r="AF71" t="s">
        <v>37</v>
      </c>
      <c r="AG71">
        <v>0.075</v>
      </c>
      <c r="AH71">
        <v>2</v>
      </c>
      <c r="AI71">
        <v>27149452</v>
      </c>
      <c r="AJ71">
        <v>64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ROW(Source!A34)</f>
        <v>34</v>
      </c>
      <c r="B72">
        <v>27149463</v>
      </c>
      <c r="C72">
        <v>27149450</v>
      </c>
      <c r="D72">
        <v>24265924</v>
      </c>
      <c r="E72">
        <v>1</v>
      </c>
      <c r="F72">
        <v>1</v>
      </c>
      <c r="G72">
        <v>1</v>
      </c>
      <c r="H72">
        <v>2</v>
      </c>
      <c r="I72" t="s">
        <v>314</v>
      </c>
      <c r="J72" t="s">
        <v>315</v>
      </c>
      <c r="K72" t="s">
        <v>316</v>
      </c>
      <c r="L72">
        <v>1368</v>
      </c>
      <c r="N72">
        <v>1011</v>
      </c>
      <c r="O72" t="s">
        <v>238</v>
      </c>
      <c r="P72" t="s">
        <v>238</v>
      </c>
      <c r="Q72">
        <v>1</v>
      </c>
      <c r="X72">
        <v>0.01</v>
      </c>
      <c r="Y72">
        <v>0</v>
      </c>
      <c r="Z72">
        <v>89.99</v>
      </c>
      <c r="AA72">
        <v>10.06</v>
      </c>
      <c r="AB72">
        <v>0</v>
      </c>
      <c r="AC72">
        <v>0</v>
      </c>
      <c r="AD72">
        <v>1</v>
      </c>
      <c r="AE72">
        <v>0</v>
      </c>
      <c r="AF72" t="s">
        <v>37</v>
      </c>
      <c r="AG72">
        <v>0.015</v>
      </c>
      <c r="AH72">
        <v>2</v>
      </c>
      <c r="AI72">
        <v>27149453</v>
      </c>
      <c r="AJ72">
        <v>65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ROW(Source!A34)</f>
        <v>34</v>
      </c>
      <c r="B73">
        <v>27149464</v>
      </c>
      <c r="C73">
        <v>27149450</v>
      </c>
      <c r="D73">
        <v>24313971</v>
      </c>
      <c r="E73">
        <v>1</v>
      </c>
      <c r="F73">
        <v>1</v>
      </c>
      <c r="G73">
        <v>1</v>
      </c>
      <c r="H73">
        <v>2</v>
      </c>
      <c r="I73" t="s">
        <v>334</v>
      </c>
      <c r="J73" t="s">
        <v>335</v>
      </c>
      <c r="K73" t="s">
        <v>336</v>
      </c>
      <c r="L73">
        <v>1368</v>
      </c>
      <c r="N73">
        <v>1011</v>
      </c>
      <c r="O73" t="s">
        <v>238</v>
      </c>
      <c r="P73" t="s">
        <v>238</v>
      </c>
      <c r="Q73">
        <v>1</v>
      </c>
      <c r="X73">
        <v>0.04</v>
      </c>
      <c r="Y73">
        <v>0</v>
      </c>
      <c r="Z73">
        <v>12.39</v>
      </c>
      <c r="AA73">
        <v>10.06</v>
      </c>
      <c r="AB73">
        <v>0</v>
      </c>
      <c r="AC73">
        <v>0</v>
      </c>
      <c r="AD73">
        <v>1</v>
      </c>
      <c r="AE73">
        <v>0</v>
      </c>
      <c r="AF73" t="s">
        <v>37</v>
      </c>
      <c r="AG73">
        <v>0.06</v>
      </c>
      <c r="AH73">
        <v>2</v>
      </c>
      <c r="AI73">
        <v>27149454</v>
      </c>
      <c r="AJ73">
        <v>66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ROW(Source!A34)</f>
        <v>34</v>
      </c>
      <c r="B74">
        <v>27149465</v>
      </c>
      <c r="C74">
        <v>27149450</v>
      </c>
      <c r="D74">
        <v>24262102</v>
      </c>
      <c r="E74">
        <v>1</v>
      </c>
      <c r="F74">
        <v>1</v>
      </c>
      <c r="G74">
        <v>1</v>
      </c>
      <c r="H74">
        <v>2</v>
      </c>
      <c r="I74" t="s">
        <v>277</v>
      </c>
      <c r="J74" t="s">
        <v>278</v>
      </c>
      <c r="K74" t="s">
        <v>279</v>
      </c>
      <c r="L74">
        <v>1368</v>
      </c>
      <c r="N74">
        <v>1011</v>
      </c>
      <c r="O74" t="s">
        <v>238</v>
      </c>
      <c r="P74" t="s">
        <v>238</v>
      </c>
      <c r="Q74">
        <v>1</v>
      </c>
      <c r="X74">
        <v>0.01</v>
      </c>
      <c r="Y74">
        <v>0</v>
      </c>
      <c r="Z74">
        <v>87.17</v>
      </c>
      <c r="AA74">
        <v>11.6</v>
      </c>
      <c r="AB74">
        <v>0</v>
      </c>
      <c r="AC74">
        <v>0</v>
      </c>
      <c r="AD74">
        <v>1</v>
      </c>
      <c r="AE74">
        <v>0</v>
      </c>
      <c r="AF74" t="s">
        <v>37</v>
      </c>
      <c r="AG74">
        <v>0.015</v>
      </c>
      <c r="AH74">
        <v>2</v>
      </c>
      <c r="AI74">
        <v>27149455</v>
      </c>
      <c r="AJ74">
        <v>67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ROW(Source!A34)</f>
        <v>34</v>
      </c>
      <c r="B75">
        <v>27149466</v>
      </c>
      <c r="C75">
        <v>27149450</v>
      </c>
      <c r="D75">
        <v>24330725</v>
      </c>
      <c r="E75">
        <v>1</v>
      </c>
      <c r="F75">
        <v>1</v>
      </c>
      <c r="G75">
        <v>1</v>
      </c>
      <c r="H75">
        <v>3</v>
      </c>
      <c r="I75" t="s">
        <v>401</v>
      </c>
      <c r="J75" t="s">
        <v>402</v>
      </c>
      <c r="K75" t="s">
        <v>403</v>
      </c>
      <c r="L75">
        <v>1348</v>
      </c>
      <c r="N75">
        <v>1009</v>
      </c>
      <c r="O75" t="s">
        <v>115</v>
      </c>
      <c r="P75" t="s">
        <v>115</v>
      </c>
      <c r="Q75">
        <v>1000</v>
      </c>
      <c r="X75">
        <v>3E-05</v>
      </c>
      <c r="Y75">
        <v>90400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G75">
        <v>3E-05</v>
      </c>
      <c r="AH75">
        <v>3</v>
      </c>
      <c r="AI75">
        <v>-1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ROW(Source!A34)</f>
        <v>34</v>
      </c>
      <c r="B76">
        <v>27149467</v>
      </c>
      <c r="C76">
        <v>27149450</v>
      </c>
      <c r="D76">
        <v>24323079</v>
      </c>
      <c r="E76">
        <v>1</v>
      </c>
      <c r="F76">
        <v>1</v>
      </c>
      <c r="G76">
        <v>1</v>
      </c>
      <c r="H76">
        <v>3</v>
      </c>
      <c r="I76" t="s">
        <v>352</v>
      </c>
      <c r="J76" t="s">
        <v>353</v>
      </c>
      <c r="K76" t="s">
        <v>354</v>
      </c>
      <c r="L76">
        <v>1348</v>
      </c>
      <c r="N76">
        <v>1009</v>
      </c>
      <c r="O76" t="s">
        <v>115</v>
      </c>
      <c r="P76" t="s">
        <v>115</v>
      </c>
      <c r="Q76">
        <v>1000</v>
      </c>
      <c r="X76">
        <v>7E-05</v>
      </c>
      <c r="Y76">
        <v>7716.7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G76">
        <v>7E-05</v>
      </c>
      <c r="AH76">
        <v>2</v>
      </c>
      <c r="AI76">
        <v>27149456</v>
      </c>
      <c r="AJ76">
        <v>68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ROW(Source!A34)</f>
        <v>34</v>
      </c>
      <c r="B77">
        <v>27149468</v>
      </c>
      <c r="C77">
        <v>27149450</v>
      </c>
      <c r="D77">
        <v>24323720</v>
      </c>
      <c r="E77">
        <v>1</v>
      </c>
      <c r="F77">
        <v>1</v>
      </c>
      <c r="G77">
        <v>1</v>
      </c>
      <c r="H77">
        <v>3</v>
      </c>
      <c r="I77" t="s">
        <v>355</v>
      </c>
      <c r="J77" t="s">
        <v>356</v>
      </c>
      <c r="K77" t="s">
        <v>357</v>
      </c>
      <c r="L77">
        <v>1348</v>
      </c>
      <c r="N77">
        <v>1009</v>
      </c>
      <c r="O77" t="s">
        <v>115</v>
      </c>
      <c r="P77" t="s">
        <v>115</v>
      </c>
      <c r="Q77">
        <v>1000</v>
      </c>
      <c r="X77">
        <v>5E-05</v>
      </c>
      <c r="Y77">
        <v>48302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G77">
        <v>5E-05</v>
      </c>
      <c r="AH77">
        <v>2</v>
      </c>
      <c r="AI77">
        <v>27149457</v>
      </c>
      <c r="AJ77">
        <v>69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ROW(Source!A34)</f>
        <v>34</v>
      </c>
      <c r="B78">
        <v>27149469</v>
      </c>
      <c r="C78">
        <v>27149450</v>
      </c>
      <c r="D78">
        <v>24330608</v>
      </c>
      <c r="E78">
        <v>1</v>
      </c>
      <c r="F78">
        <v>1</v>
      </c>
      <c r="G78">
        <v>1</v>
      </c>
      <c r="H78">
        <v>3</v>
      </c>
      <c r="I78" t="s">
        <v>358</v>
      </c>
      <c r="J78" t="s">
        <v>359</v>
      </c>
      <c r="K78" t="s">
        <v>360</v>
      </c>
      <c r="L78">
        <v>1348</v>
      </c>
      <c r="N78">
        <v>1009</v>
      </c>
      <c r="O78" t="s">
        <v>115</v>
      </c>
      <c r="P78" t="s">
        <v>115</v>
      </c>
      <c r="Q78">
        <v>1000</v>
      </c>
      <c r="X78">
        <v>0.0005</v>
      </c>
      <c r="Y78">
        <v>53562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G78">
        <v>0.0005</v>
      </c>
      <c r="AH78">
        <v>2</v>
      </c>
      <c r="AI78">
        <v>27149458</v>
      </c>
      <c r="AJ78">
        <v>70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ROW(Source!A34)</f>
        <v>34</v>
      </c>
      <c r="B79">
        <v>27149470</v>
      </c>
      <c r="C79">
        <v>27149450</v>
      </c>
      <c r="D79">
        <v>24330556</v>
      </c>
      <c r="E79">
        <v>1</v>
      </c>
      <c r="F79">
        <v>1</v>
      </c>
      <c r="G79">
        <v>1</v>
      </c>
      <c r="H79">
        <v>3</v>
      </c>
      <c r="I79" t="s">
        <v>349</v>
      </c>
      <c r="J79" t="s">
        <v>350</v>
      </c>
      <c r="K79" t="s">
        <v>351</v>
      </c>
      <c r="L79">
        <v>1348</v>
      </c>
      <c r="N79">
        <v>1009</v>
      </c>
      <c r="O79" t="s">
        <v>115</v>
      </c>
      <c r="P79" t="s">
        <v>115</v>
      </c>
      <c r="Q79">
        <v>1000</v>
      </c>
      <c r="X79">
        <v>0.00012</v>
      </c>
      <c r="Y79">
        <v>1234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G79">
        <v>0.00012</v>
      </c>
      <c r="AH79">
        <v>2</v>
      </c>
      <c r="AI79">
        <v>27149459</v>
      </c>
      <c r="AJ79">
        <v>71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ROW(Source!A34)</f>
        <v>34</v>
      </c>
      <c r="B80">
        <v>27149471</v>
      </c>
      <c r="C80">
        <v>27149450</v>
      </c>
      <c r="D80">
        <v>24323719</v>
      </c>
      <c r="E80">
        <v>1</v>
      </c>
      <c r="F80">
        <v>1</v>
      </c>
      <c r="G80">
        <v>1</v>
      </c>
      <c r="H80">
        <v>3</v>
      </c>
      <c r="I80" t="s">
        <v>361</v>
      </c>
      <c r="J80" t="s">
        <v>362</v>
      </c>
      <c r="K80" t="s">
        <v>363</v>
      </c>
      <c r="L80">
        <v>1348</v>
      </c>
      <c r="N80">
        <v>1009</v>
      </c>
      <c r="O80" t="s">
        <v>115</v>
      </c>
      <c r="P80" t="s">
        <v>115</v>
      </c>
      <c r="Q80">
        <v>1000</v>
      </c>
      <c r="X80">
        <v>5E-05</v>
      </c>
      <c r="Y80">
        <v>19610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G80">
        <v>5E-05</v>
      </c>
      <c r="AH80">
        <v>2</v>
      </c>
      <c r="AI80">
        <v>27149460</v>
      </c>
      <c r="AJ80">
        <v>72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ROW(Source!A35)</f>
        <v>35</v>
      </c>
      <c r="B81">
        <v>26952386</v>
      </c>
      <c r="C81">
        <v>26952383</v>
      </c>
      <c r="D81">
        <v>9430554</v>
      </c>
      <c r="E81">
        <v>1</v>
      </c>
      <c r="F81">
        <v>1</v>
      </c>
      <c r="G81">
        <v>1</v>
      </c>
      <c r="H81">
        <v>1</v>
      </c>
      <c r="I81" t="s">
        <v>364</v>
      </c>
      <c r="K81" t="s">
        <v>365</v>
      </c>
      <c r="L81">
        <v>1369</v>
      </c>
      <c r="N81">
        <v>1013</v>
      </c>
      <c r="O81" t="s">
        <v>232</v>
      </c>
      <c r="P81" t="s">
        <v>232</v>
      </c>
      <c r="Q81">
        <v>1</v>
      </c>
      <c r="X81">
        <v>214.32</v>
      </c>
      <c r="Y81">
        <v>0</v>
      </c>
      <c r="Z81">
        <v>0</v>
      </c>
      <c r="AA81">
        <v>0</v>
      </c>
      <c r="AB81">
        <v>7.25</v>
      </c>
      <c r="AC81">
        <v>0</v>
      </c>
      <c r="AD81">
        <v>1</v>
      </c>
      <c r="AE81">
        <v>1</v>
      </c>
      <c r="AG81">
        <v>214.32</v>
      </c>
      <c r="AH81">
        <v>2</v>
      </c>
      <c r="AI81">
        <v>26952384</v>
      </c>
      <c r="AJ81">
        <v>73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ROW(Source!A35)</f>
        <v>35</v>
      </c>
      <c r="B82">
        <v>26952387</v>
      </c>
      <c r="C82">
        <v>26952383</v>
      </c>
      <c r="D82">
        <v>21518261</v>
      </c>
      <c r="E82">
        <v>1</v>
      </c>
      <c r="F82">
        <v>1</v>
      </c>
      <c r="G82">
        <v>1</v>
      </c>
      <c r="H82">
        <v>3</v>
      </c>
      <c r="I82" t="s">
        <v>247</v>
      </c>
      <c r="J82" t="s">
        <v>366</v>
      </c>
      <c r="K82" t="s">
        <v>249</v>
      </c>
      <c r="L82">
        <v>1348</v>
      </c>
      <c r="N82">
        <v>1009</v>
      </c>
      <c r="O82" t="s">
        <v>115</v>
      </c>
      <c r="P82" t="s">
        <v>115</v>
      </c>
      <c r="Q82">
        <v>1000</v>
      </c>
      <c r="X82">
        <v>100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G82">
        <v>100</v>
      </c>
      <c r="AH82">
        <v>2</v>
      </c>
      <c r="AI82">
        <v>26952385</v>
      </c>
      <c r="AJ82">
        <v>74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ROW(Source!A36)</f>
        <v>36</v>
      </c>
      <c r="B83">
        <v>26918945</v>
      </c>
      <c r="C83">
        <v>26918942</v>
      </c>
      <c r="D83">
        <v>121548</v>
      </c>
      <c r="E83">
        <v>1</v>
      </c>
      <c r="F83">
        <v>1</v>
      </c>
      <c r="G83">
        <v>1</v>
      </c>
      <c r="H83">
        <v>1</v>
      </c>
      <c r="I83" t="s">
        <v>23</v>
      </c>
      <c r="K83" t="s">
        <v>233</v>
      </c>
      <c r="L83">
        <v>608254</v>
      </c>
      <c r="N83">
        <v>1013</v>
      </c>
      <c r="O83" t="s">
        <v>234</v>
      </c>
      <c r="P83" t="s">
        <v>234</v>
      </c>
      <c r="Q83">
        <v>1</v>
      </c>
      <c r="X83">
        <v>0.024</v>
      </c>
      <c r="Y83">
        <v>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2</v>
      </c>
      <c r="AG83">
        <v>0.024</v>
      </c>
      <c r="AH83">
        <v>2</v>
      </c>
      <c r="AI83">
        <v>26918943</v>
      </c>
      <c r="AJ83">
        <v>75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ROW(Source!A36)</f>
        <v>36</v>
      </c>
      <c r="B84">
        <v>26918946</v>
      </c>
      <c r="C84">
        <v>26918942</v>
      </c>
      <c r="D84">
        <v>1467629</v>
      </c>
      <c r="E84">
        <v>1</v>
      </c>
      <c r="F84">
        <v>1</v>
      </c>
      <c r="G84">
        <v>1</v>
      </c>
      <c r="H84">
        <v>2</v>
      </c>
      <c r="I84" t="s">
        <v>367</v>
      </c>
      <c r="J84" t="s">
        <v>368</v>
      </c>
      <c r="K84" t="s">
        <v>369</v>
      </c>
      <c r="L84">
        <v>1480</v>
      </c>
      <c r="N84">
        <v>1013</v>
      </c>
      <c r="O84" t="s">
        <v>370</v>
      </c>
      <c r="P84" t="s">
        <v>371</v>
      </c>
      <c r="Q84">
        <v>1</v>
      </c>
      <c r="X84">
        <v>0.024</v>
      </c>
      <c r="Y84">
        <v>0</v>
      </c>
      <c r="Z84">
        <v>125.7</v>
      </c>
      <c r="AA84">
        <v>13.5</v>
      </c>
      <c r="AB84">
        <v>0</v>
      </c>
      <c r="AC84">
        <v>0</v>
      </c>
      <c r="AD84">
        <v>1</v>
      </c>
      <c r="AE84">
        <v>0</v>
      </c>
      <c r="AG84">
        <v>0.024</v>
      </c>
      <c r="AH84">
        <v>2</v>
      </c>
      <c r="AI84">
        <v>26918944</v>
      </c>
      <c r="AJ84">
        <v>76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SolovyovIN</cp:lastModifiedBy>
  <cp:lastPrinted>2017-06-05T05:35:30Z</cp:lastPrinted>
  <dcterms:modified xsi:type="dcterms:W3CDTF">2017-06-05T05:58:41Z</dcterms:modified>
  <cp:category/>
  <cp:version/>
  <cp:contentType/>
  <cp:contentStatus/>
</cp:coreProperties>
</file>